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filterPrivacy="1"/>
  <xr:revisionPtr revIDLastSave="31" documentId="11_8E165D9C2BC060FEFBB881E92F07642160E216F0" xr6:coauthVersionLast="41" xr6:coauthVersionMax="41" xr10:uidLastSave="{06397DD7-80E5-4DA1-AE20-0EF368E3E1DB}"/>
  <bookViews>
    <workbookView xWindow="-108" yWindow="-108" windowWidth="23256" windowHeight="12720" xr2:uid="{00000000-000D-0000-FFFF-FFFF00000000}"/>
  </bookViews>
  <sheets>
    <sheet name="Comparaison des coûts" sheetId="1" r:id="rId1"/>
    <sheet name="Valeurs environnementales clés" sheetId="3" r:id="rId2"/>
    <sheet name="illustration" sheetId="2" state="hidden" r:id="rId3"/>
  </sheets>
  <definedNames>
    <definedName name="_xlnm.Print_Area" localSheetId="0">'Comparaison des coûts'!$A$1:$N$150</definedName>
    <definedName name="Fernwärme">illustration!$D$18:$D$20</definedName>
    <definedName name="Pellet">illustration!$C$18:$C$19</definedName>
    <definedName name="Strommix">illustration!$B$18:$B$19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42" i="1" l="1"/>
  <c r="G42" i="1"/>
  <c r="H42" i="1"/>
  <c r="I42" i="1"/>
  <c r="F42" i="1"/>
  <c r="E118" i="1"/>
  <c r="F118" i="1"/>
  <c r="G118" i="1"/>
  <c r="H118" i="1"/>
  <c r="I118" i="1"/>
  <c r="J118" i="1"/>
  <c r="K118" i="1"/>
  <c r="L118" i="1"/>
  <c r="D118" i="1"/>
  <c r="E108" i="1"/>
  <c r="F108" i="1"/>
  <c r="G108" i="1"/>
  <c r="H108" i="1"/>
  <c r="I108" i="1"/>
  <c r="J108" i="1"/>
  <c r="K108" i="1"/>
  <c r="L108" i="1"/>
  <c r="D108" i="1"/>
  <c r="E100" i="1"/>
  <c r="F100" i="1"/>
  <c r="G100" i="1"/>
  <c r="H100" i="1"/>
  <c r="I100" i="1"/>
  <c r="J100" i="1"/>
  <c r="K100" i="1"/>
  <c r="L100" i="1"/>
  <c r="D100" i="1"/>
  <c r="E84" i="1"/>
  <c r="F84" i="1"/>
  <c r="G84" i="1"/>
  <c r="H84" i="1"/>
  <c r="I84" i="1"/>
  <c r="J84" i="1"/>
  <c r="K84" i="1"/>
  <c r="L84" i="1"/>
  <c r="D84" i="1"/>
  <c r="E59" i="1"/>
  <c r="F59" i="1"/>
  <c r="G59" i="1"/>
  <c r="H59" i="1"/>
  <c r="I59" i="1"/>
  <c r="J59" i="1"/>
  <c r="K59" i="1"/>
  <c r="L59" i="1"/>
  <c r="D59" i="1"/>
  <c r="E51" i="1"/>
  <c r="F51" i="1"/>
  <c r="G51" i="1"/>
  <c r="H51" i="1"/>
  <c r="I51" i="1"/>
  <c r="J51" i="1"/>
  <c r="K51" i="1"/>
  <c r="L51" i="1"/>
  <c r="D51" i="1"/>
  <c r="E42" i="1"/>
  <c r="J42" i="1"/>
  <c r="K42" i="1"/>
  <c r="D42" i="1"/>
  <c r="E25" i="1"/>
  <c r="F25" i="1"/>
  <c r="G25" i="1"/>
  <c r="H25" i="1"/>
  <c r="I25" i="1"/>
  <c r="J25" i="1"/>
  <c r="K25" i="1"/>
  <c r="L25" i="1"/>
  <c r="D25" i="1"/>
  <c r="L29" i="1" l="1"/>
  <c r="E20" i="1" l="1"/>
  <c r="I45" i="1" l="1"/>
  <c r="G45" i="1"/>
  <c r="I44" i="1"/>
  <c r="G44" i="1"/>
  <c r="E44" i="1"/>
  <c r="J44" i="1"/>
  <c r="H44" i="1"/>
  <c r="K45" i="1"/>
  <c r="D44" i="1"/>
  <c r="L45" i="1"/>
  <c r="H45" i="1"/>
  <c r="F45" i="1"/>
  <c r="J45" i="1"/>
  <c r="F44" i="1"/>
  <c r="D45" i="1"/>
  <c r="L44" i="1"/>
  <c r="K44" i="1"/>
  <c r="F91" i="1"/>
  <c r="J6" i="2" l="1"/>
  <c r="G6" i="2"/>
  <c r="F6" i="2"/>
  <c r="E6" i="2"/>
  <c r="D6" i="2"/>
  <c r="K31" i="3"/>
  <c r="H31" i="3"/>
  <c r="K30" i="3"/>
  <c r="H30" i="3"/>
  <c r="K29" i="3"/>
  <c r="H29" i="3"/>
  <c r="K25" i="3"/>
  <c r="H25" i="3"/>
  <c r="K24" i="3"/>
  <c r="H24" i="3"/>
  <c r="K23" i="3"/>
  <c r="H23" i="3"/>
  <c r="L106" i="1"/>
  <c r="L111" i="1" s="1"/>
  <c r="L28" i="1" s="1"/>
  <c r="K106" i="1"/>
  <c r="K111" i="1" s="1"/>
  <c r="G106" i="1"/>
  <c r="G111" i="1" s="1"/>
  <c r="F106" i="1"/>
  <c r="F111" i="1" s="1"/>
  <c r="E106" i="1"/>
  <c r="E111" i="1" s="1"/>
  <c r="C5" i="2" s="1"/>
  <c r="L96" i="1"/>
  <c r="G94" i="1"/>
  <c r="F94" i="1"/>
  <c r="L91" i="1"/>
  <c r="G91" i="1"/>
  <c r="K89" i="1"/>
  <c r="E89" i="1"/>
  <c r="L85" i="1"/>
  <c r="K85" i="1"/>
  <c r="J85" i="1"/>
  <c r="I85" i="1"/>
  <c r="H85" i="1"/>
  <c r="G85" i="1"/>
  <c r="F85" i="1"/>
  <c r="E85" i="1"/>
  <c r="E45" i="1" s="1"/>
  <c r="D85" i="1"/>
  <c r="L79" i="1"/>
  <c r="K79" i="1"/>
  <c r="K80" i="1" s="1"/>
  <c r="K81" i="1" s="1"/>
  <c r="J79" i="1"/>
  <c r="J80" i="1" s="1"/>
  <c r="J81" i="1" s="1"/>
  <c r="I79" i="1"/>
  <c r="H79" i="1"/>
  <c r="H80" i="1" s="1"/>
  <c r="H81" i="1" s="1"/>
  <c r="G79" i="1"/>
  <c r="F79" i="1"/>
  <c r="E79" i="1"/>
  <c r="E80" i="1" s="1"/>
  <c r="E81" i="1" s="1"/>
  <c r="D79" i="1"/>
  <c r="D80" i="1" s="1"/>
  <c r="D81" i="1" s="1"/>
  <c r="C33" i="1"/>
  <c r="I29" i="1"/>
  <c r="H29" i="1"/>
  <c r="G29" i="1"/>
  <c r="F29" i="1"/>
  <c r="C25" i="1"/>
  <c r="I55" i="1"/>
  <c r="I91" i="1" s="1"/>
  <c r="L80" i="1" l="1"/>
  <c r="L81" i="1" s="1"/>
  <c r="L82" i="1" s="1"/>
  <c r="D5" i="2"/>
  <c r="F28" i="1"/>
  <c r="G28" i="1"/>
  <c r="E5" i="2"/>
  <c r="K28" i="1"/>
  <c r="I5" i="2"/>
  <c r="J5" i="2"/>
  <c r="E28" i="1"/>
  <c r="G52" i="1"/>
  <c r="K52" i="1"/>
  <c r="K43" i="1" s="1"/>
  <c r="E52" i="1"/>
  <c r="E43" i="1" s="1"/>
  <c r="I52" i="1"/>
  <c r="D55" i="1"/>
  <c r="D91" i="1" s="1"/>
  <c r="J55" i="1"/>
  <c r="J91" i="1" s="1"/>
  <c r="F52" i="1"/>
  <c r="J52" i="1"/>
  <c r="J43" i="1" s="1"/>
  <c r="E55" i="1"/>
  <c r="E91" i="1" s="1"/>
  <c r="K55" i="1"/>
  <c r="K91" i="1" s="1"/>
  <c r="H55" i="1"/>
  <c r="H91" i="1" s="1"/>
  <c r="K20" i="1"/>
  <c r="K21" i="1" s="1"/>
  <c r="D52" i="1"/>
  <c r="D43" i="1" s="1"/>
  <c r="H52" i="1"/>
  <c r="L52" i="1"/>
  <c r="K82" i="1"/>
  <c r="J82" i="1"/>
  <c r="I80" i="1"/>
  <c r="I81" i="1" s="1"/>
  <c r="I82" i="1" s="1"/>
  <c r="D82" i="1"/>
  <c r="E82" i="1"/>
  <c r="F80" i="1"/>
  <c r="F81" i="1" s="1"/>
  <c r="F82" i="1" s="1"/>
  <c r="G80" i="1"/>
  <c r="G81" i="1" s="1"/>
  <c r="G82" i="1" s="1"/>
  <c r="H82" i="1"/>
  <c r="L109" i="1" l="1"/>
  <c r="L26" i="1" s="1"/>
  <c r="J3" i="2"/>
  <c r="E90" i="1"/>
  <c r="E98" i="1" s="1"/>
  <c r="E110" i="1" s="1"/>
  <c r="E86" i="1"/>
  <c r="E122" i="1" s="1"/>
  <c r="E120" i="1"/>
  <c r="L86" i="1"/>
  <c r="L122" i="1" s="1"/>
  <c r="L97" i="1"/>
  <c r="L98" i="1" s="1"/>
  <c r="L110" i="1" s="1"/>
  <c r="L27" i="1" s="1"/>
  <c r="H95" i="1"/>
  <c r="H105" i="1" s="1"/>
  <c r="H106" i="1" s="1"/>
  <c r="H111" i="1" s="1"/>
  <c r="H86" i="1"/>
  <c r="H122" i="1" s="1"/>
  <c r="J88" i="1"/>
  <c r="J86" i="1"/>
  <c r="J122" i="1" s="1"/>
  <c r="J120" i="1"/>
  <c r="K90" i="1"/>
  <c r="K98" i="1" s="1"/>
  <c r="K110" i="1" s="1"/>
  <c r="K120" i="1"/>
  <c r="K86" i="1"/>
  <c r="K122" i="1" s="1"/>
  <c r="D88" i="1"/>
  <c r="D86" i="1"/>
  <c r="D122" i="1" s="1"/>
  <c r="D120" i="1"/>
  <c r="F92" i="1"/>
  <c r="F86" i="1"/>
  <c r="F122" i="1" s="1"/>
  <c r="F93" i="1"/>
  <c r="I86" i="1"/>
  <c r="I122" i="1" s="1"/>
  <c r="I95" i="1"/>
  <c r="G93" i="1"/>
  <c r="G92" i="1"/>
  <c r="G86" i="1"/>
  <c r="G122" i="1" s="1"/>
  <c r="K109" i="1"/>
  <c r="I3" i="2"/>
  <c r="H3" i="2"/>
  <c r="J109" i="1"/>
  <c r="G3" i="2"/>
  <c r="I109" i="1"/>
  <c r="B3" i="2"/>
  <c r="D109" i="1"/>
  <c r="C3" i="2"/>
  <c r="E109" i="1"/>
  <c r="D3" i="2"/>
  <c r="F109" i="1"/>
  <c r="E3" i="2"/>
  <c r="G109" i="1"/>
  <c r="F3" i="2"/>
  <c r="H109" i="1"/>
  <c r="L112" i="1" l="1"/>
  <c r="L115" i="1" s="1"/>
  <c r="G98" i="1"/>
  <c r="G110" i="1" s="1"/>
  <c r="G27" i="1" s="1"/>
  <c r="H98" i="1"/>
  <c r="H110" i="1" s="1"/>
  <c r="F4" i="2" s="1"/>
  <c r="F98" i="1"/>
  <c r="F110" i="1" s="1"/>
  <c r="F27" i="1" s="1"/>
  <c r="I105" i="1"/>
  <c r="I106" i="1" s="1"/>
  <c r="I111" i="1" s="1"/>
  <c r="I98" i="1"/>
  <c r="I110" i="1" s="1"/>
  <c r="I7" i="2"/>
  <c r="K30" i="1"/>
  <c r="H7" i="2"/>
  <c r="J30" i="1"/>
  <c r="J4" i="2"/>
  <c r="E27" i="1"/>
  <c r="C4" i="2"/>
  <c r="E7" i="2"/>
  <c r="G30" i="1"/>
  <c r="I30" i="1"/>
  <c r="G7" i="2"/>
  <c r="B6" i="2"/>
  <c r="D29" i="1"/>
  <c r="K29" i="1"/>
  <c r="I6" i="2"/>
  <c r="J105" i="1"/>
  <c r="J106" i="1" s="1"/>
  <c r="J111" i="1" s="1"/>
  <c r="J98" i="1"/>
  <c r="J110" i="1" s="1"/>
  <c r="J7" i="2"/>
  <c r="L30" i="1"/>
  <c r="B7" i="2"/>
  <c r="D30" i="1"/>
  <c r="I4" i="2"/>
  <c r="K27" i="1"/>
  <c r="F7" i="2"/>
  <c r="H30" i="1"/>
  <c r="C6" i="2"/>
  <c r="E29" i="1"/>
  <c r="D7" i="2"/>
  <c r="F30" i="1"/>
  <c r="D105" i="1"/>
  <c r="D106" i="1" s="1"/>
  <c r="D111" i="1" s="1"/>
  <c r="D98" i="1"/>
  <c r="D110" i="1" s="1"/>
  <c r="H6" i="2"/>
  <c r="J29" i="1"/>
  <c r="F5" i="2"/>
  <c r="H28" i="1"/>
  <c r="E30" i="1"/>
  <c r="C7" i="2"/>
  <c r="K26" i="1"/>
  <c r="K112" i="1"/>
  <c r="J26" i="1"/>
  <c r="I26" i="1"/>
  <c r="D26" i="1"/>
  <c r="E26" i="1"/>
  <c r="E112" i="1"/>
  <c r="F26" i="1"/>
  <c r="G26" i="1"/>
  <c r="H26" i="1"/>
  <c r="L119" i="1" l="1"/>
  <c r="L124" i="1" s="1"/>
  <c r="L31" i="1" s="1"/>
  <c r="G112" i="1"/>
  <c r="G115" i="1" s="1"/>
  <c r="E4" i="2"/>
  <c r="F112" i="1"/>
  <c r="F119" i="1" s="1"/>
  <c r="F124" i="1" s="1"/>
  <c r="D4" i="2"/>
  <c r="H27" i="1"/>
  <c r="H112" i="1"/>
  <c r="H115" i="1" s="1"/>
  <c r="I112" i="1"/>
  <c r="I119" i="1" s="1"/>
  <c r="I124" i="1" s="1"/>
  <c r="B4" i="2"/>
  <c r="D27" i="1"/>
  <c r="H4" i="2"/>
  <c r="J27" i="1"/>
  <c r="I27" i="1"/>
  <c r="G4" i="2"/>
  <c r="B5" i="2"/>
  <c r="D28" i="1"/>
  <c r="H5" i="2"/>
  <c r="J28" i="1"/>
  <c r="I28" i="1"/>
  <c r="G5" i="2"/>
  <c r="D112" i="1"/>
  <c r="L113" i="1" s="1"/>
  <c r="J112" i="1"/>
  <c r="J119" i="1" s="1"/>
  <c r="J124" i="1" s="1"/>
  <c r="K119" i="1"/>
  <c r="K124" i="1" s="1"/>
  <c r="K115" i="1"/>
  <c r="E119" i="1"/>
  <c r="E124" i="1" s="1"/>
  <c r="E115" i="1"/>
  <c r="L126" i="1" l="1"/>
  <c r="L33" i="1" s="1"/>
  <c r="G119" i="1"/>
  <c r="G124" i="1" s="1"/>
  <c r="G126" i="1" s="1"/>
  <c r="G33" i="1" s="1"/>
  <c r="F115" i="1"/>
  <c r="H119" i="1"/>
  <c r="H124" i="1" s="1"/>
  <c r="H31" i="1" s="1"/>
  <c r="I115" i="1"/>
  <c r="H113" i="1"/>
  <c r="J113" i="1"/>
  <c r="J115" i="1"/>
  <c r="D115" i="1"/>
  <c r="G113" i="1"/>
  <c r="E113" i="1"/>
  <c r="D119" i="1"/>
  <c r="D124" i="1" s="1"/>
  <c r="D126" i="1" s="1"/>
  <c r="D33" i="1" s="1"/>
  <c r="I113" i="1"/>
  <c r="F113" i="1"/>
  <c r="K113" i="1"/>
  <c r="K31" i="1"/>
  <c r="K126" i="1"/>
  <c r="K33" i="1" s="1"/>
  <c r="J31" i="1"/>
  <c r="J126" i="1"/>
  <c r="J33" i="1" s="1"/>
  <c r="I31" i="1"/>
  <c r="I126" i="1"/>
  <c r="I33" i="1" s="1"/>
  <c r="E126" i="1"/>
  <c r="E33" i="1" s="1"/>
  <c r="E31" i="1"/>
  <c r="F126" i="1"/>
  <c r="F33" i="1" s="1"/>
  <c r="F31" i="1"/>
  <c r="G31" i="1"/>
  <c r="H126" i="1" l="1"/>
  <c r="H33" i="1" s="1"/>
  <c r="D31" i="1"/>
</calcChain>
</file>

<file path=xl/sharedStrings.xml><?xml version="1.0" encoding="utf-8"?>
<sst xmlns="http://schemas.openxmlformats.org/spreadsheetml/2006/main" count="326" uniqueCount="236">
  <si>
    <t>m2</t>
  </si>
  <si>
    <t>kWh/a</t>
  </si>
  <si>
    <t>[m3]</t>
  </si>
  <si>
    <t>[kWh]</t>
  </si>
  <si>
    <t>[kWh/...]</t>
  </si>
  <si>
    <t>[Fr.]</t>
  </si>
  <si>
    <t>%</t>
  </si>
  <si>
    <t>Fr/a</t>
  </si>
  <si>
    <t>Fr./a</t>
  </si>
  <si>
    <t>[l]</t>
  </si>
  <si>
    <t>Fr./t</t>
  </si>
  <si>
    <t>[t]</t>
  </si>
  <si>
    <t>[Fr]</t>
  </si>
  <si>
    <t>UBP13 Infra</t>
  </si>
  <si>
    <t>UBP13 Total</t>
  </si>
  <si>
    <t>GWP Infra</t>
  </si>
  <si>
    <t>GWP Total</t>
  </si>
  <si>
    <t>KBOB Name</t>
  </si>
  <si>
    <t>DS Name</t>
  </si>
  <si>
    <t>UBP</t>
  </si>
  <si>
    <t>kg CO2e</t>
  </si>
  <si>
    <t>MJ</t>
  </si>
  <si>
    <t>Heizkessel Erdgas</t>
  </si>
  <si>
    <t>Heat, natural gas, at boiler condensing modulating &lt;100kW/RER U</t>
  </si>
  <si>
    <t>Elektrowärmepumpe Luft / Wasser (JAZ 2.8)</t>
  </si>
  <si>
    <t>Elektrowärmepumpe Erdsonden (JAZ 3.9)</t>
  </si>
  <si>
    <t>Heizkessel Pellets</t>
  </si>
  <si>
    <t>heat, wood pellets, at furnace 50kW, adjusted PM, with PF/MJ/CH U</t>
  </si>
  <si>
    <t>Heizkessel Pellets mit Partikelfilter</t>
  </si>
  <si>
    <t>heat, wood pellets, at furnace 50kW, adjusted PM, without PF/MJ/CH U</t>
  </si>
  <si>
    <t>Fernwärme mit Nutzung Kehrichtwärme, Durchschnitt Netze CH</t>
  </si>
  <si>
    <t>district heat, average Switzerland, at grid/MJ/CH U</t>
  </si>
  <si>
    <t>Kehrichtverbrennung</t>
  </si>
  <si>
    <t>district heat, from municipal waste incineration plant/MJ/CH U</t>
  </si>
  <si>
    <t>Heizzentrale Holz</t>
  </si>
  <si>
    <t>district heat, from wood, 6400kWth, emission control/MJ/CH U</t>
  </si>
  <si>
    <t>Mix zertifizierte Stromprodukte CH</t>
  </si>
  <si>
    <t>KBOB Nummer</t>
  </si>
  <si>
    <t>43.002</t>
  </si>
  <si>
    <t>44.001</t>
  </si>
  <si>
    <t>44.002</t>
  </si>
  <si>
    <t>43.008</t>
  </si>
  <si>
    <t>43.012</t>
  </si>
  <si>
    <t>42.017</t>
  </si>
  <si>
    <t>42.011</t>
  </si>
  <si>
    <t>42.003</t>
  </si>
  <si>
    <t>45.022</t>
  </si>
  <si>
    <t>neu</t>
  </si>
  <si>
    <t>electricity, low voltage, certified electricity, at grid/kWh/CH U</t>
  </si>
  <si>
    <t>45.020</t>
  </si>
  <si>
    <t>CH-Verbrauchermix</t>
  </si>
  <si>
    <t>electricity, low voltage, at grid/kWh/CH U</t>
  </si>
  <si>
    <t>Heat, light fuel oil, at boiler 10kW condensing, non-modulating/CH U</t>
  </si>
  <si>
    <t>Heat, at air-water heat pump 10kW/CH U</t>
  </si>
  <si>
    <t>Heat, borehole heat exchanger, at brine-water heat pump 10kW/CH U</t>
  </si>
  <si>
    <t>heat, at 12 m2 Cu collector, one-family house, for combined system/CH U</t>
  </si>
  <si>
    <t>electricity, winter season oct to march, low voltage, at grid/CH U</t>
  </si>
  <si>
    <t>[-]</t>
  </si>
  <si>
    <t>[kWh/a]</t>
  </si>
  <si>
    <t>Total</t>
  </si>
  <si>
    <t>MJ/(m2*a)</t>
  </si>
  <si>
    <t>kWh/(m2*a)</t>
  </si>
  <si>
    <t>Comparaison des coûts annuels et des effets sur l'environnement des systèmes de chauffage</t>
  </si>
  <si>
    <t>Pour les petites installations de 10 kW</t>
  </si>
  <si>
    <t>Indications sans garantie</t>
  </si>
  <si>
    <t>Info complémentaire / remarques</t>
  </si>
  <si>
    <t>Indépendamment de la manière dont les besoins en eau chaude ont été couverts à ce jour, le calcul des coûts de chauffage des nouveaux systèmes englobe la consommation d'eau chaude</t>
  </si>
  <si>
    <t>Pour une comparaison plus précise, toutes les cellules sur fond blanc peuvent être munies de données propres. Les cellules orange permettent de sélectionner ce qui convient.</t>
  </si>
  <si>
    <t>PDF "Comparaison des coûts de chauffage" (à partir de la page 7) sur</t>
  </si>
  <si>
    <t xml:space="preserve">Vous trouvez des informations complémentaires sur les termes, les chiffres et les sources dans la colonne N et à la fin du document, de même que dans le </t>
  </si>
  <si>
    <t>www.wwf.ch/chauffer</t>
  </si>
  <si>
    <t>Imprimer: format paysage</t>
  </si>
  <si>
    <t>Données du bâtiment</t>
  </si>
  <si>
    <t>Surface de référence énergétique (SRE):</t>
  </si>
  <si>
    <t>Objet:</t>
  </si>
  <si>
    <t>Désignation de la maison individuelle</t>
  </si>
  <si>
    <t>Surface de référence énergétique = espace d'habitation chauffé</t>
  </si>
  <si>
    <t>Consommation énergétique annuelle à ce jour</t>
  </si>
  <si>
    <t>Agent énergétique:</t>
  </si>
  <si>
    <t>Chauffe-eau électrique</t>
  </si>
  <si>
    <t>Citerne à mazout</t>
  </si>
  <si>
    <t>Chaudière à gaz</t>
  </si>
  <si>
    <t>PaC saline</t>
  </si>
  <si>
    <t>Granulés</t>
  </si>
  <si>
    <t>Chauffage à distance</t>
  </si>
  <si>
    <t>Pompe à chaleur air</t>
  </si>
  <si>
    <t>Si vous chauffez actuellement l'eau avec un ou plusieurs chauffe-eau électriques, indiquez la consommation électrique nécessaire dans la cellule C18.</t>
  </si>
  <si>
    <t>Unité:</t>
  </si>
  <si>
    <t>Besoin en énergie de chauffage (Qw) à ce jour:</t>
  </si>
  <si>
    <t>par mètre carré de surface de référence énergétique:</t>
  </si>
  <si>
    <t>resp.</t>
  </si>
  <si>
    <r>
      <t xml:space="preserve">Comparaison des </t>
    </r>
    <r>
      <rPr>
        <b/>
        <i/>
        <sz val="12"/>
        <rFont val="Arial"/>
        <family val="2"/>
      </rPr>
      <t>coûts annuels</t>
    </r>
    <r>
      <rPr>
        <b/>
        <sz val="12"/>
        <rFont val="Arial"/>
        <family val="2"/>
      </rPr>
      <t xml:space="preserve"> et des effets sur l'environnement des systèmes de chauffage</t>
    </r>
  </si>
  <si>
    <t>Tous les coûts sont indiqués sans TVA dans ce document!</t>
  </si>
  <si>
    <t>Granulés / solaire</t>
  </si>
  <si>
    <t>Mazout / solaire</t>
  </si>
  <si>
    <t>Gaz / solaire</t>
  </si>
  <si>
    <t>Coûts du capital</t>
  </si>
  <si>
    <t>Coûts énergétiques</t>
  </si>
  <si>
    <t>Autres coûts énergétiques</t>
  </si>
  <si>
    <t>Hausse de la taxe sur le CO2</t>
  </si>
  <si>
    <t>Coûts externes selon SIA 480</t>
  </si>
  <si>
    <t>Coûts annuels, taxes comprises</t>
  </si>
  <si>
    <t>Coûts de chauffage, taxes comprises</t>
  </si>
  <si>
    <t>Comparaison de l'impact sur l'environnement des différents systèmes de chauffage</t>
  </si>
  <si>
    <t>Mélange de courant</t>
  </si>
  <si>
    <t>Filtre à particules oui/non</t>
  </si>
  <si>
    <t>Source de chaleur</t>
  </si>
  <si>
    <t>PaC saline = Pompe à chaleur solution saline/eau (avec sonde terrestre)</t>
  </si>
  <si>
    <t>Veuillez sélectionner:</t>
  </si>
  <si>
    <t>Emissions de CO2 fossile de la cheminée</t>
  </si>
  <si>
    <t>Emissions de gaz à effet de serre (équ. CO2)</t>
  </si>
  <si>
    <t>Impact total sur l'environnement (UBP 2013)</t>
  </si>
  <si>
    <t>Autres chiffres clés en rapport avec les différents systèmes de chauffage</t>
  </si>
  <si>
    <t>Dépense énergétique par système</t>
  </si>
  <si>
    <t>Contenu énergétique par unité (Hi)</t>
  </si>
  <si>
    <t>Efficacité corr. au pouvoir calorifique inférieur</t>
  </si>
  <si>
    <t>Consommation électrique de moteurs, etc.</t>
  </si>
  <si>
    <t>Pourcentage d'énergie solaire</t>
  </si>
  <si>
    <t>Place nécessaire à l'installation de chauffage</t>
  </si>
  <si>
    <t>CPS (coefficient de performance saisonnier pour les systèmes de pompe à chaleur): rapport entre la chaleur fournie pendant l'année et l'énergie électrique absorbée; η: degré d'efficacité pour les autres systèmes.</t>
  </si>
  <si>
    <t>[η/CPS]</t>
  </si>
  <si>
    <t>Investissement</t>
  </si>
  <si>
    <t>Citerne</t>
  </si>
  <si>
    <t>Sous-station de chauffage</t>
  </si>
  <si>
    <t>N'est nécessaire que pour le chauffage à distance.</t>
  </si>
  <si>
    <t>Chaudière, pompe à chaleur</t>
  </si>
  <si>
    <t xml:space="preserve">Cheminée </t>
  </si>
  <si>
    <t>Extension</t>
  </si>
  <si>
    <t>Réservoir d'eau chaude</t>
  </si>
  <si>
    <t>Sonde terrestre/source</t>
  </si>
  <si>
    <t>Répartition de la chaleur</t>
  </si>
  <si>
    <t>Isolation</t>
  </si>
  <si>
    <t>Montage, honoraires, divers</t>
  </si>
  <si>
    <t>Sanitaires</t>
  </si>
  <si>
    <t>Electricité</t>
  </si>
  <si>
    <t>Maçon, alentours, jardinier</t>
  </si>
  <si>
    <t>Démontage/élimination</t>
  </si>
  <si>
    <t>Panneaux solaires</t>
  </si>
  <si>
    <t>Incitations/déductions fiscales</t>
  </si>
  <si>
    <t>Démontage/élimination de l'installation de chauffage existante, afin de la remplacer par un modèle du même type.</t>
  </si>
  <si>
    <t>La variante granulés/solaire a par exemple été comptée avec une part d'énergie solaire plus importante (20% au lieu de 15% pour la variante mazout/solaire ou gaz/solaire). D'où les coûts plus élevés pour la construction d'installations solaires plus importantes.</t>
  </si>
  <si>
    <t>Les subventions cantonales et communales, déductions fiscales sur l'impôt fédéral et cantonal ainsi que d'éventuels reports aux locataires peuvent être déduits ici.</t>
  </si>
  <si>
    <t>Investissement total</t>
  </si>
  <si>
    <t>Durée moyenne d'amortissement</t>
  </si>
  <si>
    <t>Annuités [%] pour un intérêt réel de</t>
  </si>
  <si>
    <t>Total des coûts du capital</t>
  </si>
  <si>
    <t>η/CPS</t>
  </si>
  <si>
    <t>Consommation d'énergie finale</t>
  </si>
  <si>
    <t>Mazout extra-léger (HEL)</t>
  </si>
  <si>
    <t>Prix de base du gaz naturel</t>
  </si>
  <si>
    <t>Gaz naturel</t>
  </si>
  <si>
    <t>Courant</t>
  </si>
  <si>
    <t>Fr/100 litre</t>
  </si>
  <si>
    <t>Courant pompe à chaleur tarif haut</t>
  </si>
  <si>
    <t>Courant pompe à chaleur tarif bas</t>
  </si>
  <si>
    <t>Prix du compteur de la pompe à chaleur</t>
  </si>
  <si>
    <t>Granulés soufflés dans le silo</t>
  </si>
  <si>
    <t>Prix de base du chauffage à distance</t>
  </si>
  <si>
    <t>Total des coûts énergétiques</t>
  </si>
  <si>
    <t>Prix moyen en CHF pour les ménages privés, y compris prix de base.</t>
  </si>
  <si>
    <t>En raison d'importantes différentes entre les entreprises électriques, ce sont les tarifs hauts et bas 2015 des EKZ (courant mixte) qui sont indiqués ici.</t>
  </si>
  <si>
    <t>Si votre fournisseur d'électricité ne fait pas de différence entre tarif haut (HT) et bas (NT), indiquez la même valeur dans les deux cellules.</t>
  </si>
  <si>
    <t>coûts annuels pour un compteur mural EKZ (pompe à chaleur). Pour un compteur normal, cette valeur est en général nettement inférieure.</t>
  </si>
  <si>
    <t>Y compris mesure</t>
  </si>
  <si>
    <t>Service et réparation</t>
  </si>
  <si>
    <t>Contrôle des fumées</t>
  </si>
  <si>
    <t>Ramoneur</t>
  </si>
  <si>
    <t>Nettoyage de la citerne</t>
  </si>
  <si>
    <t>Intérêts sur le combustible</t>
  </si>
  <si>
    <t>Puisque le mazout et les granulés sont des combustibles qui doivent être payés à l'avance pour toute l'année, des intérêts s'appliquent.</t>
  </si>
  <si>
    <t>Total des autres coûts de chauffage</t>
  </si>
  <si>
    <t>Total des coûts annuels</t>
  </si>
  <si>
    <t>Coûts de l'énergie</t>
  </si>
  <si>
    <t>% changement / mazout</t>
  </si>
  <si>
    <t>Coûts de chauffage</t>
  </si>
  <si>
    <t>Coûts annuels avec frais externes</t>
  </si>
  <si>
    <t>Coûts annuels</t>
  </si>
  <si>
    <t>Coûts externes selon SIA 480 par kWh</t>
  </si>
  <si>
    <t>Coûts externes selon SIA 480 par an</t>
  </si>
  <si>
    <t>Les coûts externes selon SIA 480 varient fortement pour le chauffage à distance suivant le mix énergétique utilisé.</t>
  </si>
  <si>
    <t>suppléments de prix énergétiques calculatoires selon SIA 480; coûts supportés non pas par le propriétaire du chauffage mais par la collectivité</t>
  </si>
  <si>
    <t>Sources / bases de la comparaison des coûts de chauffage</t>
  </si>
  <si>
    <t>Exclusion de responsabilité</t>
  </si>
  <si>
    <t>Le présent comparatif des coûts de chauffage a été effectué avec le plus grand soin. Nombre de données et d'informations provenant de tiers, le WWF Suisse ne peut garantir l'exactitude, la précision et l'exhaustivité de la comparaison et des données qui la fondent. Le WWF Suisse décline toute responsabilité pour les dommages résultant directement ou indirectement de l'utilisation de ce comparatif dans le cadre autorisé par la loi. En raison des différences de prix importantes entre les lieux, les fournisseurs et les types d'utilisation des bâtiments, le WWF Suisse recommande d'utiliser des valeurs individuelles. Le WWF Suisse se réserve le droit d'adapter le comparatif des coûts de chauffage sans avertissement préalable. Les droits d'auteur du présent comparatif des coûts de chauffage appartiennent au WWF Suisse. Ce dernier s'efforce de préserver les droits d'auteurs de tiers sur les données utilisées. De tels contenus ne peuvent donc être utilisés qu'avec l'accord de leur auteur.</t>
  </si>
  <si>
    <t>ct/kWh</t>
  </si>
  <si>
    <t>[t/a]</t>
  </si>
  <si>
    <t>[Mio pt/a]</t>
  </si>
  <si>
    <t>Utilisation ans</t>
  </si>
  <si>
    <t>Chauffage à mazout, à condensation</t>
  </si>
  <si>
    <t>Pompe à chaleur électrique, air/eau</t>
  </si>
  <si>
    <t>Chauffage au gaz naturel, à condensation, fonctionnement modulant</t>
  </si>
  <si>
    <t>Pompe à chaleur électrique, solution saline/eau, avec sonde terrestre</t>
  </si>
  <si>
    <t>Chauffage à granulés à bois avec filtre à particules</t>
  </si>
  <si>
    <t>Chauffage à granulés à bois</t>
  </si>
  <si>
    <t>Collecteurs solaires (collecteurs plats)</t>
  </si>
  <si>
    <t>Chauffage à distance en Suisse</t>
  </si>
  <si>
    <t>Chauffage à distance depuis usine d'incinération des ordures ménagères (UIOM)</t>
  </si>
  <si>
    <t>Chauffage à distance à bois</t>
  </si>
  <si>
    <t>Mix de courant, certifié</t>
  </si>
  <si>
    <t>Mix de courant, mix de livraison</t>
  </si>
  <si>
    <t>Mix de courant, mix de livraison, hiver</t>
  </si>
  <si>
    <t>Pompe à chaleur air/eau alimentée par</t>
  </si>
  <si>
    <t>Pompe à chaleur solution saline/eau alimentée par</t>
  </si>
  <si>
    <t>UBP13 Opération</t>
  </si>
  <si>
    <t>GWP Opération</t>
  </si>
  <si>
    <t>Veuillez sélectionner</t>
  </si>
  <si>
    <t>Mix équilibré</t>
  </si>
  <si>
    <t>avec FP</t>
  </si>
  <si>
    <t>UIOM</t>
  </si>
  <si>
    <t>certifié</t>
  </si>
  <si>
    <t>sans FP</t>
  </si>
  <si>
    <t>Suisse</t>
  </si>
  <si>
    <t>Bois</t>
  </si>
  <si>
    <t>Pompe à chaleur solution saline</t>
  </si>
  <si>
    <t>Granulés/solaire</t>
  </si>
  <si>
    <t>Mazout/solaire</t>
  </si>
  <si>
    <t>Gaz/solaire</t>
  </si>
  <si>
    <t>Nom de l'offre</t>
  </si>
  <si>
    <t>Pour une analyse des coûts davantage taillée à votre mesure, veuillez examiner les chiffres dans les cellules 50 à 130 (p. ex. sur la base des offres que vous avez reçues)</t>
  </si>
  <si>
    <t>Les coûts du chauffage à distance varient fortement en Suisse, raison pour laquelle il est indispensable de saisir des valeurs propres dans les cellules B97, B98, L62 à L78 et L102 à L106 pour effectuer la comparaison avec le chauffage à distance.</t>
  </si>
  <si>
    <t>Coûts d'investissement et autres coûts de chauffage: associations de branche, planificateurs énergétiques, recherches propres, avril 2015</t>
  </si>
  <si>
    <t>Coûts énergétiques: associations de branche, Commission fédérale de l’électricité ElCom, recherches propres, avril 2015</t>
  </si>
  <si>
    <t>Coûts externes: suppléments de prix énergétiques calculatoires selon la norme SIA 480</t>
  </si>
  <si>
    <r>
      <rPr>
        <i/>
        <sz val="10"/>
        <rFont val="Arial"/>
        <family val="2"/>
      </rPr>
      <t>Emissons de gaz à effet de serre:</t>
    </r>
    <r>
      <rPr>
        <sz val="10"/>
        <rFont val="Arial"/>
        <family val="2"/>
      </rPr>
      <t xml:space="preserve"> comprend tous les gaz à effet de serre dégagés par la production des systèmes de chauffage et des agents énergétiques, ainsi que durant l'exploitation. Les gaz sont additionnés d'après l'IPCC 2013 pour la période de 100 ans, conformément à leur effet. Les données des émissions proviennent des données ecoinvent v2.2+ (KBOB et al. 2014) et ont été calculées par Treeze Ltd. (Büsser Knöpfel &amp; Frischknecht 2015). 
</t>
    </r>
    <r>
      <rPr>
        <i/>
        <sz val="10"/>
        <rFont val="Arial"/>
        <family val="2"/>
      </rPr>
      <t>Impact total sur l'environnement (UBP 2013 et UBP 2006)</t>
    </r>
    <r>
      <rPr>
        <sz val="10"/>
        <rFont val="Arial"/>
        <family val="2"/>
      </rPr>
      <t>: prend en considération une large palette de charges sur l'environnement occasionnées lors de la production des systèmes de chauffage et des agents énergétiques, ainsi que lors de leur exploitation. Ces charges sont évaluées d'après la méthode d'évaluation de l'écobilan de la saturation écologique (aussi appelée Ecological Scarcity, méthode UBP) (d'après Frischknecht et al. 2008 et Frischknecht &amp; Büsser Knöpfel 2013). Les données environnementales et les scores d'évaluation proviennent des jeux de données ecoinvent v2.2+ et ont été calculées par Treeze Ltd. (Büsser Knöpfel &amp; Frischknecht 2015).</t>
    </r>
  </si>
  <si>
    <t>Les valeurs relatives aux coûts du chauffage à distance variant fortement en Suisse, il n'est pas possible d'indiquer de valeurs moyennes ou indicatives ici.</t>
  </si>
  <si>
    <t>PaC air</t>
  </si>
  <si>
    <t>1. Pour les pompes à chaleur (PaC), le type de mélange d'électricité utilisé peut être choisi entre le courant écologique certifié (p. ex. naturemade star) ou le mix équilibré.
2. Pour les chauffages à granulés, il est possible de choisir entre les variantes avec et sans filtre à particules.
3. Pour le chauffage à distance, il est possible de choisir entre la chaleur résiduelle des usines d'incinération des ordures ménagères (UIOM), la combustion de bois (bois) ou, si la source n'est pas connue, le mix moyen suisse (Suisse).</t>
  </si>
  <si>
    <t>Pour une comparaison simple des coûts, il suffit de saisir les données du bâtiment sur la surface de référence énergétique des bâtiments ainsi que la consommation énergétique à ce jour dans les cellules D13, C18 à L18.</t>
  </si>
  <si>
    <t>Version mise à jour Mai 2019</t>
  </si>
  <si>
    <t>Augm. de la taxe CO2 de plus de 96 Fr/t.</t>
  </si>
  <si>
    <t>Au cours des 20 prochaines années, la supplément moyenne sur le taux actuel de la taxe de CO2 (96 Fr/t, pourrait passer à 210 Fr/t d'ici 2030 selon le projet de loi sur le CO2).</t>
  </si>
  <si>
    <t>Ces coûts comprennent une taxe de CO2 de 96 Fr./t CO2. Cela peut atteindre 210 Fr./t CO2 d'ici 2030 (voir cellule B121).</t>
  </si>
  <si>
    <t>Coûts de chauffage avec frais externes</t>
  </si>
  <si>
    <t>Augmentation de la taxe de CO2</t>
  </si>
  <si>
    <t>Consommation énergétique du système de chauffage considéré en unités selon la ligne 17</t>
  </si>
  <si>
    <t>Frais de raccordement (gaz, chauffage à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</si>
</sst>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 #,##0.00_ ;_ * \-#,##0.00_ ;_ * &quot;-&quot;??_ ;_ @_ "/>
    <numFmt numFmtId="164" formatCode="0.0000"/>
    <numFmt numFmtId="165" formatCode="0.000"/>
    <numFmt numFmtId="166" formatCode="0.0"/>
    <numFmt numFmtId="167" formatCode="0.000000"/>
    <numFmt numFmtId="168" formatCode="_ * #,##0_ ;_ * \-#,##0_ ;_ * &quot;-&quot;??_ ;_ @_ "/>
    <numFmt numFmtId="169" formatCode="#,##0.0"/>
  </numFmts>
  <fonts count="24" x14ac:knownFonts="1">
    <font>
      <sz val="10"/>
      <name val="Arial"/>
    </font>
    <font>
      <b/>
      <sz val="10"/>
      <name val="Arial"/>
      <family val="2"/>
    </font>
    <font>
      <sz val="10"/>
      <name val="Arial"/>
      <family val="2"/>
    </font>
    <font>
      <b/>
      <sz val="10"/>
      <name val="Arial"/>
      <family val="2"/>
    </font>
    <font>
      <b/>
      <sz val="12"/>
      <name val="Arial"/>
      <family val="2"/>
    </font>
    <font>
      <b/>
      <sz val="14"/>
      <name val="Arial"/>
      <family val="2"/>
    </font>
    <font>
      <sz val="8"/>
      <name val="Arial"/>
      <family val="2"/>
    </font>
    <font>
      <sz val="10"/>
      <name val="Arial"/>
      <family val="2"/>
    </font>
    <font>
      <u/>
      <sz val="10"/>
      <name val="Arial"/>
      <family val="2"/>
    </font>
    <font>
      <sz val="9"/>
      <name val="Arial"/>
      <family val="2"/>
    </font>
    <font>
      <b/>
      <sz val="9"/>
      <name val="Arial"/>
      <family val="2"/>
    </font>
    <font>
      <b/>
      <sz val="10"/>
      <color indexed="8"/>
      <name val="Arial"/>
      <family val="2"/>
    </font>
    <font>
      <b/>
      <sz val="10"/>
      <color indexed="10"/>
      <name val="Arial"/>
      <family val="2"/>
    </font>
    <font>
      <i/>
      <sz val="10"/>
      <name val="Arial"/>
      <family val="2"/>
    </font>
    <font>
      <i/>
      <sz val="9"/>
      <name val="Arial"/>
      <family val="2"/>
    </font>
    <font>
      <sz val="10"/>
      <color rgb="FF00B050"/>
      <name val="Arial"/>
      <family val="2"/>
    </font>
    <font>
      <b/>
      <sz val="12"/>
      <color rgb="FF00B050"/>
      <name val="Arial"/>
      <family val="2"/>
    </font>
    <font>
      <b/>
      <sz val="10"/>
      <color rgb="FF00B050"/>
      <name val="Arial"/>
      <family val="2"/>
    </font>
    <font>
      <sz val="10"/>
      <name val="Arial"/>
      <family val="2"/>
    </font>
    <font>
      <u/>
      <sz val="10"/>
      <color theme="10"/>
      <name val="Arial"/>
      <family val="2"/>
    </font>
    <font>
      <b/>
      <u/>
      <sz val="10"/>
      <color theme="10"/>
      <name val="Arial"/>
      <family val="2"/>
    </font>
    <font>
      <sz val="10"/>
      <name val="Arial"/>
      <family val="2"/>
    </font>
    <font>
      <b/>
      <i/>
      <sz val="12"/>
      <name val="Arial"/>
      <family val="2"/>
    </font>
    <font>
      <sz val="14"/>
      <name val="Arial"/>
      <family val="2"/>
    </font>
  </fonts>
  <fills count="4">
    <fill>
      <patternFill patternType="none"/>
    </fill>
    <fill>
      <patternFill patternType="gray125"/>
    </fill>
    <fill>
      <patternFill patternType="solid">
        <fgColor rgb="FFF8F8F8"/>
        <bgColor indexed="64"/>
      </patternFill>
    </fill>
    <fill>
      <patternFill patternType="solid">
        <fgColor rgb="FFFFC000"/>
        <bgColor indexed="64"/>
      </patternFill>
    </fill>
  </fills>
  <borders count="15">
    <border>
      <left/>
      <right/>
      <top/>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rgb="FFC00000"/>
      </left>
      <right style="medium">
        <color rgb="FFC00000"/>
      </right>
      <top style="medium">
        <color rgb="FFC00000"/>
      </top>
      <bottom style="medium">
        <color rgb="FFC00000"/>
      </bottom>
      <diagonal/>
    </border>
  </borders>
  <cellStyleXfs count="5">
    <xf numFmtId="0" fontId="0" fillId="0" borderId="0"/>
    <xf numFmtId="0" fontId="2" fillId="0" borderId="0"/>
    <xf numFmtId="43" fontId="18" fillId="0" borderId="0" applyFont="0" applyFill="0" applyBorder="0" applyAlignment="0" applyProtection="0"/>
    <xf numFmtId="0" fontId="19" fillId="0" borderId="0" applyNumberFormat="0" applyFill="0" applyBorder="0" applyAlignment="0" applyProtection="0"/>
    <xf numFmtId="9" fontId="21" fillId="0" borderId="0" applyFont="0" applyFill="0" applyBorder="0" applyAlignment="0" applyProtection="0"/>
  </cellStyleXfs>
  <cellXfs count="166">
    <xf numFmtId="0" fontId="0" fillId="0" borderId="0" xfId="0"/>
    <xf numFmtId="1" fontId="0" fillId="0" borderId="0" xfId="0" applyNumberFormat="1"/>
    <xf numFmtId="0" fontId="3" fillId="0" borderId="0" xfId="0" applyFont="1"/>
    <xf numFmtId="1" fontId="1" fillId="0" borderId="0" xfId="0" applyNumberFormat="1" applyFont="1"/>
    <xf numFmtId="0" fontId="0" fillId="0" borderId="0" xfId="0" applyBorder="1"/>
    <xf numFmtId="0" fontId="0" fillId="0" borderId="2" xfId="0" applyBorder="1"/>
    <xf numFmtId="0" fontId="0" fillId="0" borderId="0" xfId="0" applyProtection="1"/>
    <xf numFmtId="0" fontId="0" fillId="0" borderId="0" xfId="0" applyBorder="1" applyAlignment="1" applyProtection="1">
      <alignment horizontal="center"/>
    </xf>
    <xf numFmtId="0" fontId="0" fillId="0" borderId="0" xfId="0" applyFill="1" applyBorder="1" applyAlignment="1" applyProtection="1">
      <alignment horizontal="center"/>
    </xf>
    <xf numFmtId="1" fontId="2" fillId="0" borderId="0" xfId="0" applyNumberFormat="1" applyFont="1" applyProtection="1"/>
    <xf numFmtId="0" fontId="0" fillId="0" borderId="6" xfId="0" applyBorder="1"/>
    <xf numFmtId="0" fontId="0" fillId="0" borderId="8" xfId="0" applyBorder="1"/>
    <xf numFmtId="0" fontId="0" fillId="0" borderId="5" xfId="0" applyBorder="1"/>
    <xf numFmtId="0" fontId="0" fillId="0" borderId="7" xfId="0" applyBorder="1"/>
    <xf numFmtId="166" fontId="0" fillId="0" borderId="2" xfId="0" applyNumberFormat="1" applyBorder="1"/>
    <xf numFmtId="166" fontId="0" fillId="0" borderId="0" xfId="0" applyNumberFormat="1" applyBorder="1"/>
    <xf numFmtId="166" fontId="0" fillId="0" borderId="7" xfId="0" applyNumberFormat="1" applyBorder="1"/>
    <xf numFmtId="164" fontId="0" fillId="0" borderId="2" xfId="0" applyNumberFormat="1" applyBorder="1"/>
    <xf numFmtId="164" fontId="0" fillId="0" borderId="0" xfId="0" applyNumberFormat="1" applyBorder="1"/>
    <xf numFmtId="164" fontId="0" fillId="0" borderId="7" xfId="0" applyNumberFormat="1" applyBorder="1"/>
    <xf numFmtId="0" fontId="0" fillId="0" borderId="9" xfId="0" applyBorder="1"/>
    <xf numFmtId="0" fontId="0" fillId="0" borderId="10" xfId="0" applyBorder="1"/>
    <xf numFmtId="0" fontId="0" fillId="0" borderId="11" xfId="0" applyBorder="1"/>
    <xf numFmtId="0" fontId="0" fillId="0" borderId="0" xfId="0" applyFill="1" applyBorder="1"/>
    <xf numFmtId="0" fontId="2" fillId="0" borderId="7" xfId="0" applyFont="1" applyBorder="1"/>
    <xf numFmtId="0" fontId="2" fillId="0" borderId="10" xfId="0" applyFont="1" applyBorder="1"/>
    <xf numFmtId="0" fontId="2" fillId="0" borderId="0" xfId="0" applyFont="1"/>
    <xf numFmtId="0" fontId="2" fillId="0" borderId="0" xfId="0" applyFont="1" applyProtection="1"/>
    <xf numFmtId="164" fontId="0" fillId="0" borderId="0" xfId="0" applyNumberFormat="1"/>
    <xf numFmtId="164" fontId="0" fillId="0" borderId="7" xfId="0" applyNumberFormat="1" applyFill="1" applyBorder="1"/>
    <xf numFmtId="167" fontId="0" fillId="0" borderId="0" xfId="0" applyNumberFormat="1"/>
    <xf numFmtId="166" fontId="0" fillId="0" borderId="7" xfId="0" applyNumberFormat="1" applyFill="1" applyBorder="1"/>
    <xf numFmtId="0" fontId="2" fillId="0" borderId="0" xfId="0" applyFont="1" applyFill="1" applyBorder="1"/>
    <xf numFmtId="0" fontId="2" fillId="0" borderId="9" xfId="0" applyFont="1" applyFill="1" applyBorder="1"/>
    <xf numFmtId="166" fontId="0" fillId="0" borderId="10" xfId="0" applyNumberFormat="1" applyFill="1" applyBorder="1"/>
    <xf numFmtId="0" fontId="0" fillId="0" borderId="11" xfId="0" applyFill="1" applyBorder="1"/>
    <xf numFmtId="0" fontId="0" fillId="0" borderId="9" xfId="0" applyFill="1" applyBorder="1"/>
    <xf numFmtId="164" fontId="0" fillId="0" borderId="10" xfId="0" applyNumberFormat="1" applyFill="1" applyBorder="1"/>
    <xf numFmtId="0" fontId="2" fillId="0" borderId="0" xfId="0" applyFont="1" applyFill="1" applyBorder="1" applyAlignment="1" applyProtection="1">
      <alignment horizontal="center"/>
    </xf>
    <xf numFmtId="0" fontId="5" fillId="2" borderId="0" xfId="0" applyFont="1" applyFill="1" applyAlignment="1" applyProtection="1">
      <alignment horizontal="centerContinuous"/>
    </xf>
    <xf numFmtId="0" fontId="0" fillId="2" borderId="0" xfId="0" applyFill="1" applyAlignment="1" applyProtection="1">
      <alignment horizontal="centerContinuous"/>
    </xf>
    <xf numFmtId="1" fontId="1" fillId="2" borderId="0" xfId="0" applyNumberFormat="1" applyFont="1" applyFill="1" applyAlignment="1" applyProtection="1">
      <alignment horizontal="center"/>
    </xf>
    <xf numFmtId="1" fontId="3" fillId="2" borderId="0" xfId="0" applyNumberFormat="1" applyFont="1" applyFill="1" applyAlignment="1" applyProtection="1">
      <alignment horizontal="center"/>
    </xf>
    <xf numFmtId="1" fontId="10" fillId="2" borderId="0" xfId="0" applyNumberFormat="1" applyFont="1" applyFill="1" applyAlignment="1" applyProtection="1">
      <alignment horizontal="center"/>
    </xf>
    <xf numFmtId="0" fontId="0" fillId="2" borderId="0" xfId="0" applyFill="1" applyBorder="1" applyAlignment="1" applyProtection="1">
      <alignment horizontal="left"/>
    </xf>
    <xf numFmtId="168" fontId="0" fillId="2" borderId="0" xfId="2" applyNumberFormat="1" applyFont="1" applyFill="1" applyBorder="1" applyAlignment="1" applyProtection="1">
      <alignment horizontal="center"/>
    </xf>
    <xf numFmtId="0" fontId="0" fillId="2" borderId="0" xfId="0" applyFill="1" applyAlignment="1" applyProtection="1">
      <alignment horizontal="center"/>
    </xf>
    <xf numFmtId="0" fontId="0" fillId="2" borderId="0" xfId="0" applyFill="1" applyBorder="1" applyAlignment="1" applyProtection="1">
      <alignment horizontal="center"/>
    </xf>
    <xf numFmtId="0" fontId="9" fillId="2" borderId="0" xfId="0" applyFont="1" applyFill="1" applyAlignment="1" applyProtection="1">
      <alignment horizontal="center"/>
    </xf>
    <xf numFmtId="0" fontId="3" fillId="2" borderId="0" xfId="0" applyFont="1" applyFill="1" applyBorder="1" applyAlignment="1" applyProtection="1">
      <alignment horizontal="right"/>
    </xf>
    <xf numFmtId="1" fontId="3" fillId="2" borderId="0" xfId="0" applyNumberFormat="1" applyFont="1" applyFill="1" applyBorder="1" applyAlignment="1" applyProtection="1">
      <alignment horizontal="center"/>
    </xf>
    <xf numFmtId="0" fontId="0" fillId="2" borderId="0" xfId="0" applyFill="1" applyAlignment="1" applyProtection="1">
      <alignment horizontal="right"/>
    </xf>
    <xf numFmtId="0" fontId="3" fillId="2" borderId="0" xfId="0" applyFont="1" applyFill="1" applyAlignment="1" applyProtection="1">
      <alignment horizontal="center"/>
    </xf>
    <xf numFmtId="0" fontId="1" fillId="2" borderId="0" xfId="0" applyFont="1" applyFill="1" applyAlignment="1" applyProtection="1">
      <alignment horizontal="right"/>
    </xf>
    <xf numFmtId="165" fontId="0" fillId="2" borderId="0" xfId="0" applyNumberFormat="1" applyFill="1" applyAlignment="1" applyProtection="1">
      <alignment horizontal="center"/>
    </xf>
    <xf numFmtId="165" fontId="13" fillId="2" borderId="0" xfId="0" applyNumberFormat="1" applyFont="1" applyFill="1" applyAlignment="1" applyProtection="1">
      <alignment horizontal="center"/>
    </xf>
    <xf numFmtId="168" fontId="9" fillId="0" borderId="1" xfId="2" applyNumberFormat="1" applyFont="1" applyFill="1" applyBorder="1" applyAlignment="1" applyProtection="1">
      <alignment horizontal="center"/>
      <protection locked="0"/>
    </xf>
    <xf numFmtId="168" fontId="14" fillId="0" borderId="1" xfId="2" applyNumberFormat="1" applyFont="1" applyFill="1" applyBorder="1" applyAlignment="1" applyProtection="1">
      <alignment horizontal="center"/>
      <protection locked="0"/>
    </xf>
    <xf numFmtId="0" fontId="0" fillId="2" borderId="0" xfId="0" applyFill="1" applyAlignment="1" applyProtection="1"/>
    <xf numFmtId="0" fontId="1" fillId="2" borderId="0" xfId="0" applyFont="1" applyFill="1" applyAlignment="1" applyProtection="1"/>
    <xf numFmtId="0" fontId="12" fillId="2" borderId="0" xfId="0" applyFont="1" applyFill="1" applyAlignment="1" applyProtection="1"/>
    <xf numFmtId="0" fontId="2" fillId="2" borderId="0" xfId="0" applyFont="1" applyFill="1" applyAlignment="1" applyProtection="1"/>
    <xf numFmtId="0" fontId="3" fillId="2" borderId="0" xfId="0" applyFont="1" applyFill="1" applyAlignment="1" applyProtection="1"/>
    <xf numFmtId="0" fontId="4" fillId="2" borderId="0" xfId="0" applyFont="1" applyFill="1" applyBorder="1" applyAlignment="1" applyProtection="1"/>
    <xf numFmtId="0" fontId="0" fillId="2" borderId="0" xfId="0" applyFill="1" applyBorder="1" applyAlignment="1" applyProtection="1"/>
    <xf numFmtId="0" fontId="6" fillId="2" borderId="0" xfId="0" applyFont="1" applyFill="1" applyBorder="1" applyAlignment="1" applyProtection="1">
      <alignment horizontal="center"/>
    </xf>
    <xf numFmtId="0" fontId="2" fillId="2" borderId="0" xfId="0" applyFont="1" applyFill="1" applyBorder="1" applyAlignment="1" applyProtection="1">
      <alignment horizontal="left"/>
    </xf>
    <xf numFmtId="168" fontId="1" fillId="2" borderId="0" xfId="2" applyNumberFormat="1" applyFont="1" applyFill="1" applyBorder="1" applyAlignment="1" applyProtection="1">
      <alignment horizontal="right"/>
    </xf>
    <xf numFmtId="0" fontId="15" fillId="2" borderId="0" xfId="0" applyFont="1" applyFill="1" applyBorder="1" applyAlignment="1" applyProtection="1">
      <alignment horizontal="left" wrapText="1"/>
    </xf>
    <xf numFmtId="1" fontId="1" fillId="2" borderId="0" xfId="0" applyNumberFormat="1" applyFont="1" applyFill="1" applyBorder="1" applyAlignment="1" applyProtection="1">
      <alignment horizontal="right"/>
    </xf>
    <xf numFmtId="0" fontId="4" fillId="2" borderId="0" xfId="0" applyFont="1" applyFill="1" applyAlignment="1" applyProtection="1"/>
    <xf numFmtId="0" fontId="9" fillId="2" borderId="0" xfId="0" applyFont="1" applyFill="1" applyAlignment="1" applyProtection="1"/>
    <xf numFmtId="0" fontId="3" fillId="2" borderId="0" xfId="0" applyFont="1" applyFill="1" applyBorder="1" applyAlignment="1" applyProtection="1"/>
    <xf numFmtId="0" fontId="2" fillId="2" borderId="0" xfId="0" applyFont="1" applyFill="1" applyBorder="1" applyAlignment="1" applyProtection="1"/>
    <xf numFmtId="0" fontId="0" fillId="2" borderId="0" xfId="0" applyFont="1" applyFill="1" applyBorder="1" applyAlignment="1" applyProtection="1"/>
    <xf numFmtId="0" fontId="0" fillId="2" borderId="0" xfId="0" applyFont="1" applyFill="1" applyAlignment="1" applyProtection="1"/>
    <xf numFmtId="0" fontId="17" fillId="2" borderId="0" xfId="0" applyFont="1" applyFill="1" applyAlignment="1" applyProtection="1"/>
    <xf numFmtId="1" fontId="17" fillId="2" borderId="0" xfId="0" applyNumberFormat="1" applyFont="1" applyFill="1" applyAlignment="1" applyProtection="1">
      <alignment horizontal="center"/>
    </xf>
    <xf numFmtId="0" fontId="17" fillId="2" borderId="0" xfId="0" applyFont="1" applyFill="1" applyAlignment="1" applyProtection="1">
      <alignment horizontal="left"/>
    </xf>
    <xf numFmtId="43" fontId="0" fillId="2" borderId="0" xfId="2" applyFont="1" applyFill="1" applyAlignment="1" applyProtection="1">
      <alignment horizontal="center"/>
    </xf>
    <xf numFmtId="43" fontId="2" fillId="2" borderId="0" xfId="2" applyFont="1" applyFill="1" applyAlignment="1" applyProtection="1">
      <alignment horizontal="center" wrapText="1"/>
    </xf>
    <xf numFmtId="43" fontId="0" fillId="2" borderId="0" xfId="2" applyFont="1" applyFill="1" applyBorder="1" applyAlignment="1" applyProtection="1">
      <alignment horizontal="center" wrapText="1"/>
    </xf>
    <xf numFmtId="43" fontId="0" fillId="2" borderId="0" xfId="2" applyFont="1" applyFill="1" applyBorder="1" applyAlignment="1" applyProtection="1">
      <alignment horizontal="center"/>
    </xf>
    <xf numFmtId="43" fontId="0" fillId="2" borderId="0" xfId="2" applyFont="1" applyFill="1" applyAlignment="1" applyProtection="1">
      <alignment horizontal="center" wrapText="1"/>
    </xf>
    <xf numFmtId="0" fontId="1" fillId="2" borderId="0" xfId="0" applyFont="1" applyFill="1" applyBorder="1" applyAlignment="1" applyProtection="1"/>
    <xf numFmtId="0" fontId="1" fillId="2" borderId="0" xfId="0" applyFont="1" applyFill="1" applyBorder="1" applyAlignment="1" applyProtection="1">
      <alignment horizontal="right"/>
    </xf>
    <xf numFmtId="0" fontId="0" fillId="2" borderId="0" xfId="0" applyFill="1" applyBorder="1" applyAlignment="1" applyProtection="1">
      <alignment horizontal="right"/>
    </xf>
    <xf numFmtId="0" fontId="3" fillId="2" borderId="0" xfId="0" applyFont="1" applyFill="1" applyBorder="1" applyAlignment="1" applyProtection="1">
      <alignment horizontal="center"/>
    </xf>
    <xf numFmtId="0" fontId="16" fillId="2" borderId="0" xfId="0" applyFont="1" applyFill="1" applyBorder="1" applyAlignment="1" applyProtection="1">
      <alignment horizontal="left" wrapText="1"/>
    </xf>
    <xf numFmtId="9" fontId="2" fillId="0" borderId="1" xfId="4" applyFont="1" applyFill="1" applyBorder="1" applyAlignment="1" applyProtection="1">
      <alignment horizontal="center"/>
      <protection locked="0"/>
    </xf>
    <xf numFmtId="168" fontId="2" fillId="0" borderId="1" xfId="2" applyNumberFormat="1" applyFont="1" applyFill="1" applyBorder="1" applyAlignment="1" applyProtection="1">
      <alignment horizontal="center"/>
      <protection locked="0"/>
    </xf>
    <xf numFmtId="43" fontId="2" fillId="0" borderId="1" xfId="2" applyNumberFormat="1" applyFont="1" applyFill="1" applyBorder="1" applyAlignment="1" applyProtection="1">
      <alignment horizontal="center"/>
      <protection locked="0"/>
    </xf>
    <xf numFmtId="168" fontId="11" fillId="0" borderId="14" xfId="2" applyNumberFormat="1" applyFont="1" applyFill="1" applyBorder="1" applyAlignment="1" applyProtection="1">
      <alignment horizontal="center"/>
      <protection locked="0"/>
    </xf>
    <xf numFmtId="0" fontId="2" fillId="2" borderId="0" xfId="0" applyFont="1" applyFill="1" applyAlignment="1" applyProtection="1">
      <alignment horizontal="right"/>
    </xf>
    <xf numFmtId="0" fontId="2" fillId="2" borderId="0" xfId="0" applyFont="1" applyFill="1" applyAlignment="1" applyProtection="1">
      <alignment horizontal="left"/>
    </xf>
    <xf numFmtId="0" fontId="2" fillId="2" borderId="0" xfId="0" applyFont="1" applyFill="1" applyAlignment="1" applyProtection="1">
      <alignment horizontal="center"/>
    </xf>
    <xf numFmtId="3" fontId="0" fillId="2" borderId="0" xfId="0" applyNumberFormat="1" applyFill="1" applyAlignment="1" applyProtection="1">
      <alignment horizontal="right"/>
    </xf>
    <xf numFmtId="1" fontId="9" fillId="2" borderId="0" xfId="0" applyNumberFormat="1" applyFont="1" applyFill="1" applyAlignment="1" applyProtection="1">
      <alignment horizontal="right"/>
    </xf>
    <xf numFmtId="3" fontId="0" fillId="2" borderId="0" xfId="0" applyNumberFormat="1" applyFill="1" applyAlignment="1" applyProtection="1"/>
    <xf numFmtId="1" fontId="9" fillId="2" borderId="0" xfId="0" applyNumberFormat="1" applyFont="1" applyFill="1" applyAlignment="1" applyProtection="1"/>
    <xf numFmtId="2" fontId="9" fillId="2" borderId="0" xfId="0" applyNumberFormat="1" applyFont="1" applyFill="1" applyAlignment="1" applyProtection="1"/>
    <xf numFmtId="1" fontId="3" fillId="2" borderId="0" xfId="0" applyNumberFormat="1" applyFont="1" applyFill="1" applyBorder="1" applyAlignment="1" applyProtection="1"/>
    <xf numFmtId="168" fontId="0" fillId="2" borderId="0" xfId="2" applyNumberFormat="1" applyFont="1" applyFill="1" applyAlignment="1" applyProtection="1">
      <alignment horizontal="right"/>
    </xf>
    <xf numFmtId="168" fontId="2" fillId="2" borderId="0" xfId="2" applyNumberFormat="1" applyFont="1" applyFill="1" applyAlignment="1" applyProtection="1">
      <alignment horizontal="right"/>
    </xf>
    <xf numFmtId="0" fontId="0" fillId="0" borderId="1" xfId="0" applyFill="1" applyBorder="1" applyAlignment="1" applyProtection="1">
      <alignment horizontal="right"/>
      <protection locked="0"/>
    </xf>
    <xf numFmtId="168" fontId="3" fillId="2" borderId="0" xfId="2" applyNumberFormat="1" applyFont="1" applyFill="1" applyBorder="1" applyAlignment="1" applyProtection="1">
      <alignment horizontal="right"/>
    </xf>
    <xf numFmtId="168" fontId="3" fillId="2" borderId="0" xfId="2" applyNumberFormat="1" applyFont="1" applyFill="1" applyAlignment="1" applyProtection="1">
      <alignment horizontal="right"/>
    </xf>
    <xf numFmtId="3" fontId="3" fillId="2" borderId="0" xfId="2" applyNumberFormat="1" applyFont="1" applyFill="1" applyAlignment="1" applyProtection="1">
      <alignment horizontal="right"/>
    </xf>
    <xf numFmtId="3" fontId="3" fillId="2" borderId="0" xfId="0" applyNumberFormat="1" applyFont="1" applyFill="1" applyAlignment="1" applyProtection="1">
      <alignment horizontal="right"/>
    </xf>
    <xf numFmtId="3" fontId="2" fillId="2" borderId="0" xfId="2" applyNumberFormat="1" applyFont="1" applyFill="1" applyAlignment="1" applyProtection="1">
      <alignment horizontal="right"/>
    </xf>
    <xf numFmtId="3" fontId="0" fillId="2" borderId="0" xfId="2" applyNumberFormat="1" applyFont="1" applyFill="1" applyAlignment="1" applyProtection="1">
      <alignment horizontal="right"/>
    </xf>
    <xf numFmtId="169" fontId="0" fillId="0" borderId="1" xfId="2" applyNumberFormat="1" applyFont="1" applyFill="1" applyBorder="1" applyAlignment="1" applyProtection="1">
      <alignment horizontal="right"/>
      <protection locked="0"/>
    </xf>
    <xf numFmtId="169" fontId="2" fillId="0" borderId="1" xfId="0" applyNumberFormat="1" applyFont="1" applyFill="1" applyBorder="1" applyAlignment="1" applyProtection="1">
      <alignment horizontal="right"/>
      <protection locked="0"/>
    </xf>
    <xf numFmtId="3" fontId="1" fillId="2" borderId="0" xfId="2" applyNumberFormat="1" applyFont="1" applyFill="1" applyBorder="1" applyAlignment="1" applyProtection="1">
      <alignment horizontal="right"/>
    </xf>
    <xf numFmtId="3" fontId="1" fillId="2" borderId="0" xfId="0" applyNumberFormat="1" applyFont="1" applyFill="1" applyBorder="1" applyAlignment="1" applyProtection="1">
      <alignment horizontal="right"/>
    </xf>
    <xf numFmtId="3" fontId="0" fillId="2" borderId="0" xfId="2" applyNumberFormat="1" applyFont="1" applyFill="1" applyBorder="1" applyAlignment="1" applyProtection="1">
      <alignment horizontal="right"/>
    </xf>
    <xf numFmtId="3" fontId="0" fillId="2" borderId="0" xfId="0" applyNumberFormat="1" applyFill="1" applyBorder="1" applyAlignment="1" applyProtection="1">
      <alignment horizontal="right"/>
    </xf>
    <xf numFmtId="166" fontId="9" fillId="0" borderId="4" xfId="0" applyNumberFormat="1" applyFont="1" applyFill="1" applyBorder="1" applyAlignment="1" applyProtection="1">
      <alignment horizontal="right"/>
      <protection locked="0"/>
    </xf>
    <xf numFmtId="0" fontId="7" fillId="0" borderId="1" xfId="0" applyFont="1" applyFill="1" applyBorder="1" applyAlignment="1" applyProtection="1">
      <alignment horizontal="right"/>
      <protection locked="0"/>
    </xf>
    <xf numFmtId="0" fontId="2" fillId="0" borderId="1" xfId="0" applyFont="1" applyFill="1" applyBorder="1" applyAlignment="1" applyProtection="1">
      <alignment horizontal="right"/>
      <protection locked="0"/>
    </xf>
    <xf numFmtId="0" fontId="1" fillId="2" borderId="0" xfId="0" applyFont="1" applyFill="1" applyAlignment="1" applyProtection="1">
      <alignment horizontal="left" vertical="top"/>
    </xf>
    <xf numFmtId="0" fontId="1" fillId="2" borderId="0" xfId="0" applyFont="1" applyFill="1" applyAlignment="1" applyProtection="1">
      <alignment horizontal="left"/>
    </xf>
    <xf numFmtId="0" fontId="2" fillId="2" borderId="0" xfId="1" applyFill="1" applyAlignment="1" applyProtection="1"/>
    <xf numFmtId="168" fontId="2" fillId="2" borderId="0" xfId="2" applyNumberFormat="1" applyFont="1" applyFill="1" applyAlignment="1" applyProtection="1">
      <alignment horizontal="left"/>
    </xf>
    <xf numFmtId="168" fontId="1" fillId="2" borderId="0" xfId="2" applyNumberFormat="1" applyFont="1" applyFill="1" applyAlignment="1" applyProtection="1">
      <alignment horizontal="left"/>
    </xf>
    <xf numFmtId="168" fontId="17" fillId="2" borderId="0" xfId="2" applyNumberFormat="1" applyFont="1" applyFill="1" applyAlignment="1" applyProtection="1">
      <alignment horizontal="left"/>
    </xf>
    <xf numFmtId="0" fontId="2" fillId="2" borderId="0" xfId="0" applyFont="1" applyFill="1" applyAlignment="1" applyProtection="1">
      <alignment wrapText="1"/>
    </xf>
    <xf numFmtId="0" fontId="15" fillId="2" borderId="0" xfId="0" applyFont="1" applyFill="1" applyAlignment="1" applyProtection="1">
      <alignment horizontal="left"/>
    </xf>
    <xf numFmtId="0" fontId="4" fillId="2" borderId="0" xfId="0" applyFont="1" applyFill="1" applyAlignment="1" applyProtection="1">
      <alignment horizontal="left"/>
    </xf>
    <xf numFmtId="1" fontId="0" fillId="2" borderId="0" xfId="0" applyNumberFormat="1" applyFill="1" applyAlignment="1" applyProtection="1"/>
    <xf numFmtId="2" fontId="2" fillId="2" borderId="0" xfId="0" applyNumberFormat="1" applyFont="1" applyFill="1" applyAlignment="1" applyProtection="1">
      <alignment horizontal="left"/>
    </xf>
    <xf numFmtId="1" fontId="1" fillId="2" borderId="0" xfId="0" applyNumberFormat="1" applyFont="1" applyFill="1" applyBorder="1" applyAlignment="1" applyProtection="1">
      <alignment horizontal="left"/>
    </xf>
    <xf numFmtId="1" fontId="1" fillId="2" borderId="0" xfId="0" applyNumberFormat="1" applyFont="1" applyFill="1" applyAlignment="1" applyProtection="1">
      <alignment horizontal="left"/>
    </xf>
    <xf numFmtId="0" fontId="2" fillId="2" borderId="0" xfId="0" applyFont="1" applyFill="1" applyAlignment="1" applyProtection="1">
      <alignment horizontal="left" vertical="top"/>
    </xf>
    <xf numFmtId="0" fontId="1" fillId="2" borderId="0" xfId="0" applyFont="1" applyFill="1" applyBorder="1" applyAlignment="1" applyProtection="1">
      <alignment horizontal="left"/>
    </xf>
    <xf numFmtId="0" fontId="20" fillId="2" borderId="0" xfId="3" applyFont="1" applyFill="1" applyAlignment="1" applyProtection="1">
      <protection locked="0"/>
    </xf>
    <xf numFmtId="165" fontId="13" fillId="3" borderId="0" xfId="0" applyNumberFormat="1" applyFont="1" applyFill="1" applyAlignment="1" applyProtection="1">
      <alignment horizontal="center"/>
      <protection locked="0"/>
    </xf>
    <xf numFmtId="0" fontId="2" fillId="2" borderId="0" xfId="0" applyFont="1" applyFill="1" applyAlignment="1" applyProtection="1">
      <alignment horizontal="left"/>
    </xf>
    <xf numFmtId="0" fontId="2" fillId="2" borderId="0" xfId="0" applyFont="1" applyFill="1" applyBorder="1" applyAlignment="1" applyProtection="1">
      <alignment horizontal="center" wrapText="1"/>
    </xf>
    <xf numFmtId="0" fontId="0" fillId="2" borderId="0" xfId="0" applyFill="1" applyBorder="1" applyAlignment="1" applyProtection="1">
      <alignment horizontal="center" wrapText="1"/>
    </xf>
    <xf numFmtId="0" fontId="2" fillId="0" borderId="5" xfId="0" applyFont="1" applyBorder="1"/>
    <xf numFmtId="43" fontId="0" fillId="2" borderId="0" xfId="2" applyNumberFormat="1" applyFont="1" applyFill="1" applyAlignment="1" applyProtection="1">
      <alignment horizontal="right"/>
    </xf>
    <xf numFmtId="0" fontId="5" fillId="2" borderId="0" xfId="0" applyFont="1" applyFill="1" applyBorder="1" applyAlignment="1" applyProtection="1"/>
    <xf numFmtId="0" fontId="15" fillId="2" borderId="0" xfId="0" applyFont="1" applyFill="1" applyBorder="1" applyAlignment="1" applyProtection="1"/>
    <xf numFmtId="0" fontId="1" fillId="2" borderId="0" xfId="3" applyFont="1" applyFill="1" applyBorder="1" applyAlignment="1" applyProtection="1">
      <protection locked="0"/>
    </xf>
    <xf numFmtId="0" fontId="20" fillId="2" borderId="0" xfId="3" applyFont="1" applyFill="1" applyBorder="1" applyAlignment="1" applyProtection="1"/>
    <xf numFmtId="0" fontId="17" fillId="2" borderId="0" xfId="0" applyFont="1" applyFill="1" applyBorder="1" applyAlignment="1" applyProtection="1">
      <alignment horizontal="left"/>
    </xf>
    <xf numFmtId="0" fontId="15" fillId="2" borderId="0" xfId="0" applyFont="1" applyFill="1" applyBorder="1" applyAlignment="1" applyProtection="1">
      <alignment horizontal="left"/>
    </xf>
    <xf numFmtId="0" fontId="8" fillId="2" borderId="0" xfId="0" applyFont="1" applyFill="1" applyBorder="1" applyAlignment="1" applyProtection="1"/>
    <xf numFmtId="0" fontId="2" fillId="2" borderId="0" xfId="0" applyFont="1" applyFill="1" applyAlignment="1" applyProtection="1">
      <alignment horizontal="left"/>
    </xf>
    <xf numFmtId="0" fontId="2" fillId="2" borderId="0" xfId="0" applyFont="1" applyFill="1" applyAlignment="1" applyProtection="1">
      <alignment horizontal="left" vertical="top" wrapText="1"/>
    </xf>
    <xf numFmtId="0" fontId="2" fillId="2" borderId="0" xfId="0" applyFont="1" applyFill="1" applyAlignment="1" applyProtection="1">
      <alignment horizontal="left" wrapText="1"/>
    </xf>
    <xf numFmtId="0" fontId="2" fillId="2" borderId="0" xfId="0" applyFont="1" applyFill="1" applyAlignment="1" applyProtection="1">
      <alignment horizontal="left"/>
    </xf>
    <xf numFmtId="0" fontId="2" fillId="0" borderId="3" xfId="0" applyFont="1" applyFill="1" applyBorder="1" applyAlignment="1" applyProtection="1">
      <alignment horizontal="left"/>
      <protection locked="0"/>
    </xf>
    <xf numFmtId="0" fontId="2" fillId="0" borderId="12" xfId="0" applyFont="1" applyFill="1" applyBorder="1" applyAlignment="1" applyProtection="1">
      <alignment horizontal="left"/>
      <protection locked="0"/>
    </xf>
    <xf numFmtId="0" fontId="2" fillId="0" borderId="13" xfId="0" applyFont="1" applyFill="1" applyBorder="1" applyAlignment="1" applyProtection="1">
      <alignment horizontal="left"/>
      <protection locked="0"/>
    </xf>
    <xf numFmtId="0" fontId="4" fillId="2" borderId="0" xfId="0" applyFont="1" applyFill="1" applyBorder="1" applyAlignment="1" applyProtection="1">
      <alignment horizontal="left" wrapText="1"/>
    </xf>
    <xf numFmtId="0" fontId="15" fillId="2" borderId="0" xfId="0" applyFont="1" applyFill="1" applyBorder="1" applyAlignment="1" applyProtection="1">
      <alignment horizontal="center" wrapText="1"/>
    </xf>
    <xf numFmtId="0" fontId="1" fillId="2" borderId="0" xfId="0" applyFont="1" applyFill="1" applyBorder="1" applyAlignment="1" applyProtection="1">
      <alignment horizontal="left" wrapText="1"/>
    </xf>
    <xf numFmtId="1" fontId="1" fillId="2" borderId="0" xfId="0" applyNumberFormat="1" applyFont="1" applyFill="1" applyAlignment="1" applyProtection="1">
      <alignment horizontal="left" wrapText="1"/>
    </xf>
    <xf numFmtId="0" fontId="2" fillId="2" borderId="0" xfId="0" applyFont="1" applyFill="1" applyAlignment="1" applyProtection="1">
      <alignment horizontal="center"/>
    </xf>
    <xf numFmtId="0" fontId="2" fillId="2" borderId="0" xfId="0" applyFont="1" applyFill="1" applyBorder="1" applyAlignment="1" applyProtection="1">
      <alignment horizontal="center"/>
    </xf>
    <xf numFmtId="0" fontId="14" fillId="2" borderId="0" xfId="0" applyFont="1" applyFill="1" applyAlignment="1" applyProtection="1">
      <alignment horizontal="left" wrapText="1"/>
    </xf>
    <xf numFmtId="0" fontId="23" fillId="2" borderId="0" xfId="0" applyFont="1" applyFill="1" applyAlignment="1" applyProtection="1">
      <alignment horizontal="right"/>
    </xf>
    <xf numFmtId="0" fontId="2" fillId="3" borderId="0" xfId="0" applyFont="1" applyFill="1" applyBorder="1" applyAlignment="1" applyProtection="1"/>
    <xf numFmtId="0" fontId="9" fillId="2" borderId="0" xfId="0" applyFont="1" applyFill="1" applyAlignment="1" applyProtection="1">
      <alignment horizontal="left" wrapText="1"/>
    </xf>
  </cellXfs>
  <cellStyles count="5">
    <cellStyle name="Komma" xfId="2" builtinId="3"/>
    <cellStyle name="Link" xfId="3" builtinId="8"/>
    <cellStyle name="Normal 2" xfId="1" xr:uid="{00000000-0005-0000-0000-000002000000}"/>
    <cellStyle name="Prozent" xfId="4" builtinId="5"/>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334444310873354"/>
          <c:y val="4.0479980652824904E-2"/>
          <c:w val="0.65385345915729998"/>
          <c:h val="0.78163725469275691"/>
        </c:manualLayout>
      </c:layout>
      <c:barChart>
        <c:barDir val="col"/>
        <c:grouping val="stacked"/>
        <c:varyColors val="0"/>
        <c:ser>
          <c:idx val="0"/>
          <c:order val="0"/>
          <c:tx>
            <c:strRef>
              <c:f>illustration!$A$3</c:f>
              <c:strCache>
                <c:ptCount val="1"/>
                <c:pt idx="0">
                  <c:v>Coûts du capital</c:v>
                </c:pt>
              </c:strCache>
            </c:strRef>
          </c:tx>
          <c:spPr>
            <a:solidFill>
              <a:schemeClr val="accent1">
                <a:lumMod val="50000"/>
              </a:schemeClr>
            </a:solidFill>
            <a:ln w="12700">
              <a:solidFill>
                <a:schemeClr val="accent1">
                  <a:lumMod val="50000"/>
                </a:schemeClr>
              </a:solidFill>
              <a:prstDash val="solid"/>
            </a:ln>
          </c:spPr>
          <c:invertIfNegative val="0"/>
          <c:cat>
            <c:strRef>
              <c:f>illustration!$B$2:$J$2</c:f>
              <c:strCache>
                <c:ptCount val="9"/>
                <c:pt idx="0">
                  <c:v>Citerne à mazout</c:v>
                </c:pt>
                <c:pt idx="1">
                  <c:v>Chaudière à gaz</c:v>
                </c:pt>
                <c:pt idx="2">
                  <c:v>Pompe à chaleur solution saline</c:v>
                </c:pt>
                <c:pt idx="3">
                  <c:v>Pompe à chaleur air</c:v>
                </c:pt>
                <c:pt idx="4">
                  <c:v>Granulés</c:v>
                </c:pt>
                <c:pt idx="5">
                  <c:v>Granulés/solaire</c:v>
                </c:pt>
                <c:pt idx="6">
                  <c:v>Mazout/solaire</c:v>
                </c:pt>
                <c:pt idx="7">
                  <c:v>Gaz/solaire</c:v>
                </c:pt>
                <c:pt idx="8">
                  <c:v>Chauffage à distance</c:v>
                </c:pt>
              </c:strCache>
            </c:strRef>
          </c:cat>
          <c:val>
            <c:numRef>
              <c:f>illustration!$B$3:$J$3</c:f>
              <c:numCache>
                <c:formatCode>0</c:formatCode>
                <c:ptCount val="9"/>
                <c:pt idx="0">
                  <c:v>1621.0981591323032</c:v>
                </c:pt>
                <c:pt idx="1">
                  <c:v>1201.2804841930845</c:v>
                </c:pt>
                <c:pt idx="2">
                  <c:v>1989.7763474688991</c:v>
                </c:pt>
                <c:pt idx="3">
                  <c:v>1759.2757709282109</c:v>
                </c:pt>
                <c:pt idx="4">
                  <c:v>1815.2925220313709</c:v>
                </c:pt>
                <c:pt idx="5">
                  <c:v>2317.0029324962234</c:v>
                </c:pt>
                <c:pt idx="6">
                  <c:v>2061.0779972318674</c:v>
                </c:pt>
                <c:pt idx="7">
                  <c:v>1624.2877805220724</c:v>
                </c:pt>
                <c:pt idx="8">
                  <c:v>0</c:v>
                </c:pt>
              </c:numCache>
            </c:numRef>
          </c:val>
          <c:extLst>
            <c:ext xmlns:c16="http://schemas.microsoft.com/office/drawing/2014/chart" uri="{C3380CC4-5D6E-409C-BE32-E72D297353CC}">
              <c16:uniqueId val="{00000000-D5D3-4882-B339-33016953E90F}"/>
            </c:ext>
          </c:extLst>
        </c:ser>
        <c:ser>
          <c:idx val="1"/>
          <c:order val="1"/>
          <c:tx>
            <c:strRef>
              <c:f>illustration!$A$4</c:f>
              <c:strCache>
                <c:ptCount val="1"/>
                <c:pt idx="0">
                  <c:v>Coûts de l'énergie</c:v>
                </c:pt>
              </c:strCache>
            </c:strRef>
          </c:tx>
          <c:spPr>
            <a:solidFill>
              <a:schemeClr val="accent1">
                <a:lumMod val="60000"/>
                <a:lumOff val="40000"/>
              </a:schemeClr>
            </a:solidFill>
            <a:ln w="12700">
              <a:solidFill>
                <a:schemeClr val="accent1">
                  <a:lumMod val="60000"/>
                  <a:lumOff val="40000"/>
                </a:schemeClr>
              </a:solidFill>
              <a:prstDash val="solid"/>
            </a:ln>
          </c:spPr>
          <c:invertIfNegative val="0"/>
          <c:cat>
            <c:strRef>
              <c:f>illustration!$B$2:$J$2</c:f>
              <c:strCache>
                <c:ptCount val="9"/>
                <c:pt idx="0">
                  <c:v>Citerne à mazout</c:v>
                </c:pt>
                <c:pt idx="1">
                  <c:v>Chaudière à gaz</c:v>
                </c:pt>
                <c:pt idx="2">
                  <c:v>Pompe à chaleur solution saline</c:v>
                </c:pt>
                <c:pt idx="3">
                  <c:v>Pompe à chaleur air</c:v>
                </c:pt>
                <c:pt idx="4">
                  <c:v>Granulés</c:v>
                </c:pt>
                <c:pt idx="5">
                  <c:v>Granulés/solaire</c:v>
                </c:pt>
                <c:pt idx="6">
                  <c:v>Mazout/solaire</c:v>
                </c:pt>
                <c:pt idx="7">
                  <c:v>Gaz/solaire</c:v>
                </c:pt>
                <c:pt idx="8">
                  <c:v>Chauffage à distance</c:v>
                </c:pt>
              </c:strCache>
            </c:strRef>
          </c:cat>
          <c:val>
            <c:numRef>
              <c:f>illustration!$B$4:$J$4</c:f>
              <c:numCache>
                <c:formatCode>0</c:formatCode>
                <c:ptCount val="9"/>
                <c:pt idx="0">
                  <c:v>1348.794942</c:v>
                </c:pt>
                <c:pt idx="1">
                  <c:v>1342.5133182831685</c:v>
                </c:pt>
                <c:pt idx="2">
                  <c:v>742.76242676470588</c:v>
                </c:pt>
                <c:pt idx="3">
                  <c:v>929.76625038461543</c:v>
                </c:pt>
                <c:pt idx="4">
                  <c:v>1406.1560777392122</c:v>
                </c:pt>
                <c:pt idx="5">
                  <c:v>1145.9248621913696</c:v>
                </c:pt>
                <c:pt idx="6">
                  <c:v>1179.1744323397959</c:v>
                </c:pt>
                <c:pt idx="7">
                  <c:v>1207.1363205406931</c:v>
                </c:pt>
                <c:pt idx="8">
                  <c:v>0</c:v>
                </c:pt>
              </c:numCache>
            </c:numRef>
          </c:val>
          <c:extLst>
            <c:ext xmlns:c16="http://schemas.microsoft.com/office/drawing/2014/chart" uri="{C3380CC4-5D6E-409C-BE32-E72D297353CC}">
              <c16:uniqueId val="{00000001-D5D3-4882-B339-33016953E90F}"/>
            </c:ext>
          </c:extLst>
        </c:ser>
        <c:ser>
          <c:idx val="2"/>
          <c:order val="2"/>
          <c:tx>
            <c:strRef>
              <c:f>illustration!$A$5</c:f>
              <c:strCache>
                <c:ptCount val="1"/>
                <c:pt idx="0">
                  <c:v>Autres coûts énergétiques</c:v>
                </c:pt>
              </c:strCache>
            </c:strRef>
          </c:tx>
          <c:spPr>
            <a:solidFill>
              <a:schemeClr val="bg2">
                <a:lumMod val="50000"/>
              </a:schemeClr>
            </a:solidFill>
            <a:ln w="12700">
              <a:solidFill>
                <a:schemeClr val="bg2">
                  <a:lumMod val="50000"/>
                </a:schemeClr>
              </a:solidFill>
              <a:prstDash val="solid"/>
            </a:ln>
          </c:spPr>
          <c:invertIfNegative val="0"/>
          <c:cat>
            <c:strRef>
              <c:f>illustration!$B$2:$J$2</c:f>
              <c:strCache>
                <c:ptCount val="9"/>
                <c:pt idx="0">
                  <c:v>Citerne à mazout</c:v>
                </c:pt>
                <c:pt idx="1">
                  <c:v>Chaudière à gaz</c:v>
                </c:pt>
                <c:pt idx="2">
                  <c:v>Pompe à chaleur solution saline</c:v>
                </c:pt>
                <c:pt idx="3">
                  <c:v>Pompe à chaleur air</c:v>
                </c:pt>
                <c:pt idx="4">
                  <c:v>Granulés</c:v>
                </c:pt>
                <c:pt idx="5">
                  <c:v>Granulés/solaire</c:v>
                </c:pt>
                <c:pt idx="6">
                  <c:v>Mazout/solaire</c:v>
                </c:pt>
                <c:pt idx="7">
                  <c:v>Gaz/solaire</c:v>
                </c:pt>
                <c:pt idx="8">
                  <c:v>Chauffage à distance</c:v>
                </c:pt>
              </c:strCache>
            </c:strRef>
          </c:cat>
          <c:val>
            <c:numRef>
              <c:f>illustration!$B$5:$J$5</c:f>
              <c:numCache>
                <c:formatCode>0</c:formatCode>
                <c:ptCount val="9"/>
                <c:pt idx="0">
                  <c:v>746.18172000000004</c:v>
                </c:pt>
                <c:pt idx="1">
                  <c:v>367</c:v>
                </c:pt>
                <c:pt idx="2">
                  <c:v>100</c:v>
                </c:pt>
                <c:pt idx="3">
                  <c:v>200</c:v>
                </c:pt>
                <c:pt idx="4">
                  <c:v>717.01678424015006</c:v>
                </c:pt>
                <c:pt idx="5">
                  <c:v>711.61342739212012</c:v>
                </c:pt>
                <c:pt idx="6">
                  <c:v>742.48154834693878</c:v>
                </c:pt>
                <c:pt idx="7">
                  <c:v>367</c:v>
                </c:pt>
                <c:pt idx="8">
                  <c:v>0</c:v>
                </c:pt>
              </c:numCache>
            </c:numRef>
          </c:val>
          <c:extLst>
            <c:ext xmlns:c16="http://schemas.microsoft.com/office/drawing/2014/chart" uri="{C3380CC4-5D6E-409C-BE32-E72D297353CC}">
              <c16:uniqueId val="{00000002-D5D3-4882-B339-33016953E90F}"/>
            </c:ext>
          </c:extLst>
        </c:ser>
        <c:ser>
          <c:idx val="3"/>
          <c:order val="3"/>
          <c:tx>
            <c:strRef>
              <c:f>illustration!$A$6</c:f>
              <c:strCache>
                <c:ptCount val="1"/>
                <c:pt idx="0">
                  <c:v>Augmentation de la taxe de CO2</c:v>
                </c:pt>
              </c:strCache>
            </c:strRef>
          </c:tx>
          <c:spPr>
            <a:solidFill>
              <a:schemeClr val="bg2">
                <a:lumMod val="90000"/>
              </a:schemeClr>
            </a:solidFill>
            <a:ln w="12700">
              <a:solidFill>
                <a:schemeClr val="bg2">
                  <a:lumMod val="90000"/>
                </a:schemeClr>
              </a:solidFill>
              <a:prstDash val="solid"/>
            </a:ln>
          </c:spPr>
          <c:invertIfNegative val="0"/>
          <c:cat>
            <c:strRef>
              <c:f>illustration!$B$2:$J$2</c:f>
              <c:strCache>
                <c:ptCount val="9"/>
                <c:pt idx="0">
                  <c:v>Citerne à mazout</c:v>
                </c:pt>
                <c:pt idx="1">
                  <c:v>Chaudière à gaz</c:v>
                </c:pt>
                <c:pt idx="2">
                  <c:v>Pompe à chaleur solution saline</c:v>
                </c:pt>
                <c:pt idx="3">
                  <c:v>Pompe à chaleur air</c:v>
                </c:pt>
                <c:pt idx="4">
                  <c:v>Granulés</c:v>
                </c:pt>
                <c:pt idx="5">
                  <c:v>Granulés/solaire</c:v>
                </c:pt>
                <c:pt idx="6">
                  <c:v>Mazout/solaire</c:v>
                </c:pt>
                <c:pt idx="7">
                  <c:v>Gaz/solaire</c:v>
                </c:pt>
                <c:pt idx="8">
                  <c:v>Chauffage à distance</c:v>
                </c:pt>
              </c:strCache>
            </c:strRef>
          </c:cat>
          <c:val>
            <c:numRef>
              <c:f>illustration!$B$6:$J$6</c:f>
              <c:numCache>
                <c:formatCode>0</c:formatCode>
                <c:ptCount val="9"/>
                <c:pt idx="0">
                  <c:v>302.24177567999999</c:v>
                </c:pt>
                <c:pt idx="1">
                  <c:v>226.43627086079997</c:v>
                </c:pt>
                <c:pt idx="2">
                  <c:v>0</c:v>
                </c:pt>
                <c:pt idx="3">
                  <c:v>0</c:v>
                </c:pt>
                <c:pt idx="4">
                  <c:v>0</c:v>
                </c:pt>
                <c:pt idx="5">
                  <c:v>0</c:v>
                </c:pt>
                <c:pt idx="6">
                  <c:v>259.52699411706124</c:v>
                </c:pt>
                <c:pt idx="7">
                  <c:v>192.47083023168</c:v>
                </c:pt>
                <c:pt idx="8">
                  <c:v>0</c:v>
                </c:pt>
              </c:numCache>
            </c:numRef>
          </c:val>
          <c:extLst>
            <c:ext xmlns:c16="http://schemas.microsoft.com/office/drawing/2014/chart" uri="{C3380CC4-5D6E-409C-BE32-E72D297353CC}">
              <c16:uniqueId val="{00000003-D5D3-4882-B339-33016953E90F}"/>
            </c:ext>
          </c:extLst>
        </c:ser>
        <c:ser>
          <c:idx val="5"/>
          <c:order val="4"/>
          <c:tx>
            <c:strRef>
              <c:f>illustration!$A$7</c:f>
              <c:strCache>
                <c:ptCount val="1"/>
                <c:pt idx="0">
                  <c:v>Coûts externes selon SIA 480</c:v>
                </c:pt>
              </c:strCache>
            </c:strRef>
          </c:tx>
          <c:spPr>
            <a:solidFill>
              <a:schemeClr val="tx1">
                <a:lumMod val="50000"/>
                <a:lumOff val="50000"/>
              </a:schemeClr>
            </a:solidFill>
            <a:ln w="12700">
              <a:solidFill>
                <a:schemeClr val="tx1">
                  <a:lumMod val="50000"/>
                  <a:lumOff val="50000"/>
                </a:schemeClr>
              </a:solidFill>
              <a:prstDash val="solid"/>
            </a:ln>
          </c:spPr>
          <c:invertIfNegative val="0"/>
          <c:cat>
            <c:strRef>
              <c:f>illustration!$B$2:$J$2</c:f>
              <c:strCache>
                <c:ptCount val="9"/>
                <c:pt idx="0">
                  <c:v>Citerne à mazout</c:v>
                </c:pt>
                <c:pt idx="1">
                  <c:v>Chaudière à gaz</c:v>
                </c:pt>
                <c:pt idx="2">
                  <c:v>Pompe à chaleur solution saline</c:v>
                </c:pt>
                <c:pt idx="3">
                  <c:v>Pompe à chaleur air</c:v>
                </c:pt>
                <c:pt idx="4">
                  <c:v>Granulés</c:v>
                </c:pt>
                <c:pt idx="5">
                  <c:v>Granulés/solaire</c:v>
                </c:pt>
                <c:pt idx="6">
                  <c:v>Mazout/solaire</c:v>
                </c:pt>
                <c:pt idx="7">
                  <c:v>Gaz/solaire</c:v>
                </c:pt>
                <c:pt idx="8">
                  <c:v>Chauffage à distance</c:v>
                </c:pt>
              </c:strCache>
            </c:strRef>
          </c:cat>
          <c:val>
            <c:numRef>
              <c:f>illustration!$B$7:$J$7</c:f>
              <c:numCache>
                <c:formatCode>0</c:formatCode>
                <c:ptCount val="9"/>
                <c:pt idx="0">
                  <c:v>654.54300000000001</c:v>
                </c:pt>
                <c:pt idx="1">
                  <c:v>431.99838000000005</c:v>
                </c:pt>
                <c:pt idx="2">
                  <c:v>211.76391176470588</c:v>
                </c:pt>
                <c:pt idx="3">
                  <c:v>276.92203846153842</c:v>
                </c:pt>
                <c:pt idx="4">
                  <c:v>263.41364634146339</c:v>
                </c:pt>
                <c:pt idx="5">
                  <c:v>210.73091707317076</c:v>
                </c:pt>
                <c:pt idx="6">
                  <c:v>562.03870867346939</c:v>
                </c:pt>
                <c:pt idx="7">
                  <c:v>367.198623</c:v>
                </c:pt>
                <c:pt idx="8">
                  <c:v>259.199028</c:v>
                </c:pt>
              </c:numCache>
            </c:numRef>
          </c:val>
          <c:extLst>
            <c:ext xmlns:c16="http://schemas.microsoft.com/office/drawing/2014/chart" uri="{C3380CC4-5D6E-409C-BE32-E72D297353CC}">
              <c16:uniqueId val="{00000004-D5D3-4882-B339-33016953E90F}"/>
            </c:ext>
          </c:extLst>
        </c:ser>
        <c:dLbls>
          <c:showLegendKey val="0"/>
          <c:showVal val="0"/>
          <c:showCatName val="0"/>
          <c:showSerName val="0"/>
          <c:showPercent val="0"/>
          <c:showBubbleSize val="0"/>
        </c:dLbls>
        <c:gapWidth val="150"/>
        <c:overlap val="100"/>
        <c:axId val="68233472"/>
        <c:axId val="84754432"/>
      </c:barChart>
      <c:catAx>
        <c:axId val="6823347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1020000" vert="horz"/>
          <a:lstStyle/>
          <a:p>
            <a:pPr>
              <a:defRPr sz="1000" b="0" i="0" u="none" strike="noStrike" baseline="0">
                <a:solidFill>
                  <a:srgbClr val="000000"/>
                </a:solidFill>
                <a:latin typeface="Arial"/>
                <a:ea typeface="Arial"/>
                <a:cs typeface="Arial"/>
              </a:defRPr>
            </a:pPr>
            <a:endParaRPr lang="de-DE"/>
          </a:p>
        </c:txPr>
        <c:crossAx val="84754432"/>
        <c:crosses val="autoZero"/>
        <c:auto val="0"/>
        <c:lblAlgn val="ctr"/>
        <c:lblOffset val="100"/>
        <c:tickLblSkip val="1"/>
        <c:tickMarkSkip val="1"/>
        <c:noMultiLvlLbl val="0"/>
      </c:catAx>
      <c:valAx>
        <c:axId val="84754432"/>
        <c:scaling>
          <c:orientation val="minMax"/>
        </c:scaling>
        <c:delete val="0"/>
        <c:axPos val="l"/>
        <c:title>
          <c:tx>
            <c:rich>
              <a:bodyPr rot="-5400000" vert="horz"/>
              <a:lstStyle/>
              <a:p>
                <a:pPr>
                  <a:defRPr sz="1000" b="0"/>
                </a:pPr>
                <a:r>
                  <a:rPr lang="en-GB" sz="1000" b="0" i="0" baseline="0">
                    <a:effectLst/>
                  </a:rPr>
                  <a:t>Coûts annuels en francs suisses</a:t>
                </a:r>
                <a:endParaRPr lang="de-CH" sz="1000">
                  <a:effectLst/>
                </a:endParaRPr>
              </a:p>
            </c:rich>
          </c:tx>
          <c:layout>
            <c:manualLayout>
              <c:xMode val="edge"/>
              <c:yMode val="edge"/>
              <c:x val="0.20128406516119562"/>
              <c:y val="0.12685402129611847"/>
            </c:manualLayout>
          </c:layout>
          <c:overlay val="0"/>
        </c:title>
        <c:numFmt formatCode="#,##0" sourceLinked="0"/>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68233472"/>
        <c:crosses val="autoZero"/>
        <c:crossBetween val="between"/>
      </c:valAx>
      <c:spPr>
        <a:solidFill>
          <a:srgbClr val="E3E3E3"/>
        </a:solidFill>
        <a:ln w="3175">
          <a:solidFill>
            <a:srgbClr val="808080"/>
          </a:solidFill>
          <a:prstDash val="solid"/>
        </a:ln>
      </c:spPr>
    </c:plotArea>
    <c:legend>
      <c:legendPos val="l"/>
      <c:layout>
        <c:manualLayout>
          <c:xMode val="edge"/>
          <c:yMode val="edge"/>
          <c:x val="1.2459018921852852E-2"/>
          <c:y val="0.27307883262559657"/>
          <c:w val="0.17455670466473081"/>
          <c:h val="0.42676909288777926"/>
        </c:manualLayout>
      </c:layout>
      <c:overlay val="0"/>
      <c:spPr>
        <a:solidFill>
          <a:srgbClr val="F8F8F8"/>
        </a:solidFill>
        <a:ln w="3175">
          <a:noFill/>
          <a:prstDash val="solid"/>
        </a:ln>
      </c:spPr>
      <c:txPr>
        <a:bodyPr/>
        <a:lstStyle/>
        <a:p>
          <a:pPr>
            <a:defRPr sz="100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8F8F8"/>
    </a:solid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&amp;A</c:oddHeader>
      <c:oddFooter>Seite &amp;P</c:oddFooter>
    </c:headerFooter>
    <c:pageMargins b="1" l="0.75" r="0.75" t="1" header="0.51181102300000003" footer="0.51181102300000003"/>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183218121074181"/>
          <c:y val="7.7330002691135741E-2"/>
          <c:w val="0.61259974460104516"/>
          <c:h val="0.78737857335081129"/>
        </c:manualLayout>
      </c:layout>
      <c:barChart>
        <c:barDir val="col"/>
        <c:grouping val="clustered"/>
        <c:varyColors val="0"/>
        <c:ser>
          <c:idx val="3"/>
          <c:order val="0"/>
          <c:tx>
            <c:strRef>
              <c:f>'Comparaison des coûts'!$A$43:$C$43</c:f>
              <c:strCache>
                <c:ptCount val="3"/>
                <c:pt idx="0">
                  <c:v>Emissions de CO2 fossile de la cheminée</c:v>
                </c:pt>
                <c:pt idx="2">
                  <c:v>[t/a]</c:v>
                </c:pt>
              </c:strCache>
            </c:strRef>
          </c:tx>
          <c:spPr>
            <a:solidFill>
              <a:schemeClr val="tx1">
                <a:lumMod val="25000"/>
                <a:lumOff val="75000"/>
              </a:schemeClr>
            </a:solidFill>
          </c:spPr>
          <c:invertIfNegative val="0"/>
          <c:cat>
            <c:strRef>
              <c:f>'Comparaison des coûts'!$D$42:$L$42</c:f>
              <c:strCache>
                <c:ptCount val="9"/>
                <c:pt idx="0">
                  <c:v>Citerne à mazout</c:v>
                </c:pt>
                <c:pt idx="1">
                  <c:v>Chaudière à gaz</c:v>
                </c:pt>
                <c:pt idx="2">
                  <c:v>PaC saline Mix équilibré</c:v>
                </c:pt>
                <c:pt idx="3">
                  <c:v>PaC air Mix équilibré</c:v>
                </c:pt>
                <c:pt idx="4">
                  <c:v>Granulés avec FP</c:v>
                </c:pt>
                <c:pt idx="5">
                  <c:v>Granulés / solaire avec FP</c:v>
                </c:pt>
                <c:pt idx="6">
                  <c:v>Mazout / solaire</c:v>
                </c:pt>
                <c:pt idx="7">
                  <c:v>Gaz / solaire</c:v>
                </c:pt>
                <c:pt idx="8">
                  <c:v>Chauffage à distance Suisse</c:v>
                </c:pt>
              </c:strCache>
            </c:strRef>
          </c:cat>
          <c:val>
            <c:numRef>
              <c:f>'Comparaison des coûts'!$D$43:$L$43</c:f>
              <c:numCache>
                <c:formatCode>_(* #,##0.00_);_(* \(#,##0.00\);_(* "-"??_);_(@_)</c:formatCode>
                <c:ptCount val="9"/>
                <c:pt idx="0">
                  <c:v>3.8748945599999995</c:v>
                </c:pt>
                <c:pt idx="1">
                  <c:v>2.9030291135999997</c:v>
                </c:pt>
                <c:pt idx="2">
                  <c:v>0</c:v>
                </c:pt>
                <c:pt idx="3">
                  <c:v>0</c:v>
                </c:pt>
                <c:pt idx="4">
                  <c:v>0</c:v>
                </c:pt>
                <c:pt idx="5">
                  <c:v>0</c:v>
                </c:pt>
                <c:pt idx="6">
                  <c:v>3.3272691553469387</c:v>
                </c:pt>
                <c:pt idx="7">
                  <c:v>2.46757474656</c:v>
                </c:pt>
                <c:pt idx="8">
                  <c:v>0</c:v>
                </c:pt>
              </c:numCache>
            </c:numRef>
          </c:val>
          <c:extLst>
            <c:ext xmlns:c16="http://schemas.microsoft.com/office/drawing/2014/chart" uri="{C3380CC4-5D6E-409C-BE32-E72D297353CC}">
              <c16:uniqueId val="{00000000-3FC1-4721-8419-F76BB8E1907F}"/>
            </c:ext>
          </c:extLst>
        </c:ser>
        <c:ser>
          <c:idx val="0"/>
          <c:order val="1"/>
          <c:tx>
            <c:strRef>
              <c:f>'Comparaison des coûts'!$A$44:$C$44</c:f>
              <c:strCache>
                <c:ptCount val="3"/>
                <c:pt idx="0">
                  <c:v>Emissions de gaz à effet de serre (équ. CO2)</c:v>
                </c:pt>
                <c:pt idx="2">
                  <c:v>[t/a]</c:v>
                </c:pt>
              </c:strCache>
            </c:strRef>
          </c:tx>
          <c:spPr>
            <a:solidFill>
              <a:schemeClr val="accent1"/>
            </a:solidFill>
            <a:ln w="12700">
              <a:solidFill>
                <a:schemeClr val="accent1"/>
              </a:solidFill>
            </a:ln>
          </c:spPr>
          <c:invertIfNegative val="0"/>
          <c:cat>
            <c:strRef>
              <c:f>'Comparaison des coûts'!$D$42:$L$42</c:f>
              <c:strCache>
                <c:ptCount val="9"/>
                <c:pt idx="0">
                  <c:v>Citerne à mazout</c:v>
                </c:pt>
                <c:pt idx="1">
                  <c:v>Chaudière à gaz</c:v>
                </c:pt>
                <c:pt idx="2">
                  <c:v>PaC saline Mix équilibré</c:v>
                </c:pt>
                <c:pt idx="3">
                  <c:v>PaC air Mix équilibré</c:v>
                </c:pt>
                <c:pt idx="4">
                  <c:v>Granulés avec FP</c:v>
                </c:pt>
                <c:pt idx="5">
                  <c:v>Granulés / solaire avec FP</c:v>
                </c:pt>
                <c:pt idx="6">
                  <c:v>Mazout / solaire</c:v>
                </c:pt>
                <c:pt idx="7">
                  <c:v>Gaz / solaire</c:v>
                </c:pt>
                <c:pt idx="8">
                  <c:v>Chauffage à distance Suisse</c:v>
                </c:pt>
              </c:strCache>
            </c:strRef>
          </c:cat>
          <c:val>
            <c:numRef>
              <c:f>'Comparaison des coûts'!$D$44:$L$44</c:f>
              <c:numCache>
                <c:formatCode>_(* #,##0.00_);_(* \(#,##0.00\);_(* "-"??_);_(@_)</c:formatCode>
                <c:ptCount val="9"/>
                <c:pt idx="0">
                  <c:v>4.6789383230063999</c:v>
                </c:pt>
                <c:pt idx="1">
                  <c:v>3.6535344507046363</c:v>
                </c:pt>
                <c:pt idx="2">
                  <c:v>0.90723785028765636</c:v>
                </c:pt>
                <c:pt idx="3">
                  <c:v>1.1770586672688297</c:v>
                </c:pt>
                <c:pt idx="4">
                  <c:v>0.70757353972693604</c:v>
                </c:pt>
                <c:pt idx="5">
                  <c:v>0.67771617434494402</c:v>
                </c:pt>
                <c:pt idx="6">
                  <c:v>4.1014232097897763</c:v>
                </c:pt>
                <c:pt idx="7">
                  <c:v>3.1892472900214872</c:v>
                </c:pt>
                <c:pt idx="8">
                  <c:v>1.5584676962042232</c:v>
                </c:pt>
              </c:numCache>
            </c:numRef>
          </c:val>
          <c:extLst>
            <c:ext xmlns:c16="http://schemas.microsoft.com/office/drawing/2014/chart" uri="{C3380CC4-5D6E-409C-BE32-E72D297353CC}">
              <c16:uniqueId val="{00000001-3FC1-4721-8419-F76BB8E1907F}"/>
            </c:ext>
          </c:extLst>
        </c:ser>
        <c:ser>
          <c:idx val="4"/>
          <c:order val="2"/>
          <c:spPr>
            <a:noFill/>
          </c:spPr>
          <c:invertIfNegative val="0"/>
          <c:cat>
            <c:strRef>
              <c:f>'Comparaison des coûts'!$D$42:$L$42</c:f>
              <c:strCache>
                <c:ptCount val="9"/>
                <c:pt idx="0">
                  <c:v>Citerne à mazout</c:v>
                </c:pt>
                <c:pt idx="1">
                  <c:v>Chaudière à gaz</c:v>
                </c:pt>
                <c:pt idx="2">
                  <c:v>PaC saline Mix équilibré</c:v>
                </c:pt>
                <c:pt idx="3">
                  <c:v>PaC air Mix équilibré</c:v>
                </c:pt>
                <c:pt idx="4">
                  <c:v>Granulés avec FP</c:v>
                </c:pt>
                <c:pt idx="5">
                  <c:v>Granulés / solaire avec FP</c:v>
                </c:pt>
                <c:pt idx="6">
                  <c:v>Mazout / solaire</c:v>
                </c:pt>
                <c:pt idx="7">
                  <c:v>Gaz / solaire</c:v>
                </c:pt>
                <c:pt idx="8">
                  <c:v>Chauffage à distance Suisse</c:v>
                </c:pt>
              </c:strCache>
            </c:strRef>
          </c:cat>
          <c:val>
            <c:numRef>
              <c:f>'Comparaison des coûts'!$D$46:$L$46</c:f>
              <c:numCache>
                <c:formatCode>0.000</c:formatCode>
                <c:ptCount val="9"/>
              </c:numCache>
            </c:numRef>
          </c:val>
          <c:extLst>
            <c:ext xmlns:c16="http://schemas.microsoft.com/office/drawing/2014/chart" uri="{C3380CC4-5D6E-409C-BE32-E72D297353CC}">
              <c16:uniqueId val="{00000002-3FC1-4721-8419-F76BB8E1907F}"/>
            </c:ext>
          </c:extLst>
        </c:ser>
        <c:dLbls>
          <c:showLegendKey val="0"/>
          <c:showVal val="0"/>
          <c:showCatName val="0"/>
          <c:showSerName val="0"/>
          <c:showPercent val="0"/>
          <c:showBubbleSize val="0"/>
        </c:dLbls>
        <c:gapWidth val="150"/>
        <c:axId val="85589376"/>
        <c:axId val="85935232"/>
      </c:barChart>
      <c:barChart>
        <c:barDir val="col"/>
        <c:grouping val="clustered"/>
        <c:varyColors val="0"/>
        <c:ser>
          <c:idx val="2"/>
          <c:order val="3"/>
          <c:spPr>
            <a:noFill/>
          </c:spPr>
          <c:invertIfNegative val="0"/>
          <c:cat>
            <c:strRef>
              <c:f>'Comparaison des coûts'!$D$42:$L$42</c:f>
              <c:strCache>
                <c:ptCount val="9"/>
                <c:pt idx="0">
                  <c:v>Citerne à mazout</c:v>
                </c:pt>
                <c:pt idx="1">
                  <c:v>Chaudière à gaz</c:v>
                </c:pt>
                <c:pt idx="2">
                  <c:v>PaC saline Mix équilibré</c:v>
                </c:pt>
                <c:pt idx="3">
                  <c:v>PaC air Mix équilibré</c:v>
                </c:pt>
                <c:pt idx="4">
                  <c:v>Granulés avec FP</c:v>
                </c:pt>
                <c:pt idx="5">
                  <c:v>Granulés / solaire avec FP</c:v>
                </c:pt>
                <c:pt idx="6">
                  <c:v>Mazout / solaire</c:v>
                </c:pt>
                <c:pt idx="7">
                  <c:v>Gaz / solaire</c:v>
                </c:pt>
                <c:pt idx="8">
                  <c:v>Chauffage à distance Suisse</c:v>
                </c:pt>
              </c:strCache>
            </c:strRef>
          </c:cat>
          <c:val>
            <c:numRef>
              <c:f>'Comparaison des coûts'!$D$46:$L$46</c:f>
              <c:numCache>
                <c:formatCode>0.000</c:formatCode>
                <c:ptCount val="9"/>
              </c:numCache>
            </c:numRef>
          </c:val>
          <c:extLst>
            <c:ext xmlns:c16="http://schemas.microsoft.com/office/drawing/2014/chart" uri="{C3380CC4-5D6E-409C-BE32-E72D297353CC}">
              <c16:uniqueId val="{00000003-3FC1-4721-8419-F76BB8E1907F}"/>
            </c:ext>
          </c:extLst>
        </c:ser>
        <c:ser>
          <c:idx val="5"/>
          <c:order val="4"/>
          <c:spPr>
            <a:noFill/>
          </c:spPr>
          <c:invertIfNegative val="0"/>
          <c:cat>
            <c:strRef>
              <c:f>'Comparaison des coûts'!$D$42:$L$42</c:f>
              <c:strCache>
                <c:ptCount val="9"/>
                <c:pt idx="0">
                  <c:v>Citerne à mazout</c:v>
                </c:pt>
                <c:pt idx="1">
                  <c:v>Chaudière à gaz</c:v>
                </c:pt>
                <c:pt idx="2">
                  <c:v>PaC saline Mix équilibré</c:v>
                </c:pt>
                <c:pt idx="3">
                  <c:v>PaC air Mix équilibré</c:v>
                </c:pt>
                <c:pt idx="4">
                  <c:v>Granulés avec FP</c:v>
                </c:pt>
                <c:pt idx="5">
                  <c:v>Granulés / solaire avec FP</c:v>
                </c:pt>
                <c:pt idx="6">
                  <c:v>Mazout / solaire</c:v>
                </c:pt>
                <c:pt idx="7">
                  <c:v>Gaz / solaire</c:v>
                </c:pt>
                <c:pt idx="8">
                  <c:v>Chauffage à distance Suisse</c:v>
                </c:pt>
              </c:strCache>
            </c:strRef>
          </c:cat>
          <c:val>
            <c:numRef>
              <c:f>'Comparaison des coûts'!$D$46:$L$46</c:f>
              <c:numCache>
                <c:formatCode>0.000</c:formatCode>
                <c:ptCount val="9"/>
              </c:numCache>
            </c:numRef>
          </c:val>
          <c:extLst>
            <c:ext xmlns:c16="http://schemas.microsoft.com/office/drawing/2014/chart" uri="{C3380CC4-5D6E-409C-BE32-E72D297353CC}">
              <c16:uniqueId val="{00000004-3FC1-4721-8419-F76BB8E1907F}"/>
            </c:ext>
          </c:extLst>
        </c:ser>
        <c:ser>
          <c:idx val="1"/>
          <c:order val="5"/>
          <c:tx>
            <c:strRef>
              <c:f>'Comparaison des coûts'!$A$45:$C$45</c:f>
              <c:strCache>
                <c:ptCount val="3"/>
                <c:pt idx="0">
                  <c:v>Impact total sur l'environnement (UBP 2013)</c:v>
                </c:pt>
                <c:pt idx="2">
                  <c:v>[Mio pt/a]</c:v>
                </c:pt>
              </c:strCache>
            </c:strRef>
          </c:tx>
          <c:spPr>
            <a:solidFill>
              <a:schemeClr val="accent1">
                <a:lumMod val="60000"/>
                <a:lumOff val="40000"/>
              </a:schemeClr>
            </a:solidFill>
            <a:ln w="12700">
              <a:solidFill>
                <a:schemeClr val="accent1">
                  <a:lumMod val="60000"/>
                  <a:lumOff val="40000"/>
                </a:schemeClr>
              </a:solidFill>
              <a:prstDash val="solid"/>
            </a:ln>
          </c:spPr>
          <c:invertIfNegative val="0"/>
          <c:cat>
            <c:strRef>
              <c:f>'Comparaison des coûts'!$D$42:$L$42</c:f>
              <c:strCache>
                <c:ptCount val="9"/>
                <c:pt idx="0">
                  <c:v>Citerne à mazout</c:v>
                </c:pt>
                <c:pt idx="1">
                  <c:v>Chaudière à gaz</c:v>
                </c:pt>
                <c:pt idx="2">
                  <c:v>PaC saline Mix équilibré</c:v>
                </c:pt>
                <c:pt idx="3">
                  <c:v>PaC air Mix équilibré</c:v>
                </c:pt>
                <c:pt idx="4">
                  <c:v>Granulés avec FP</c:v>
                </c:pt>
                <c:pt idx="5">
                  <c:v>Granulés / solaire avec FP</c:v>
                </c:pt>
                <c:pt idx="6">
                  <c:v>Mazout / solaire</c:v>
                </c:pt>
                <c:pt idx="7">
                  <c:v>Gaz / solaire</c:v>
                </c:pt>
                <c:pt idx="8">
                  <c:v>Chauffage à distance Suisse</c:v>
                </c:pt>
              </c:strCache>
            </c:strRef>
          </c:cat>
          <c:val>
            <c:numRef>
              <c:f>'Comparaison des coûts'!$D$45:$L$45</c:f>
              <c:numCache>
                <c:formatCode>_(* #,##0.00_);_(* \(#,##0.00\);_(* "-"??_);_(@_)</c:formatCode>
                <c:ptCount val="9"/>
                <c:pt idx="0">
                  <c:v>3.5558208707126395</c:v>
                </c:pt>
                <c:pt idx="1">
                  <c:v>2.2187231024510421</c:v>
                </c:pt>
                <c:pt idx="2">
                  <c:v>1.9532346343073599</c:v>
                </c:pt>
                <c:pt idx="3">
                  <c:v>2.4941376862593714</c:v>
                </c:pt>
                <c:pt idx="4">
                  <c:v>1.5438116982412635</c:v>
                </c:pt>
                <c:pt idx="5">
                  <c:v>1.5081298942171621</c:v>
                </c:pt>
                <c:pt idx="6">
                  <c:v>3.2580994452943242</c:v>
                </c:pt>
                <c:pt idx="7">
                  <c:v>2.0907250388014993</c:v>
                </c:pt>
                <c:pt idx="8">
                  <c:v>1.30937110583994</c:v>
                </c:pt>
              </c:numCache>
            </c:numRef>
          </c:val>
          <c:extLst>
            <c:ext xmlns:c16="http://schemas.microsoft.com/office/drawing/2014/chart" uri="{C3380CC4-5D6E-409C-BE32-E72D297353CC}">
              <c16:uniqueId val="{00000005-3FC1-4721-8419-F76BB8E1907F}"/>
            </c:ext>
          </c:extLst>
        </c:ser>
        <c:dLbls>
          <c:showLegendKey val="0"/>
          <c:showVal val="0"/>
          <c:showCatName val="0"/>
          <c:showSerName val="0"/>
          <c:showPercent val="0"/>
          <c:showBubbleSize val="0"/>
        </c:dLbls>
        <c:gapWidth val="150"/>
        <c:axId val="86210816"/>
        <c:axId val="86195584"/>
      </c:barChart>
      <c:catAx>
        <c:axId val="85589376"/>
        <c:scaling>
          <c:orientation val="minMax"/>
        </c:scaling>
        <c:delete val="0"/>
        <c:axPos val="b"/>
        <c:numFmt formatCode="General" sourceLinked="1"/>
        <c:majorTickMark val="out"/>
        <c:minorTickMark val="none"/>
        <c:tickLblPos val="nextTo"/>
        <c:spPr>
          <a:ln w="3175">
            <a:solidFill>
              <a:srgbClr val="000000"/>
            </a:solidFill>
            <a:prstDash val="solid"/>
          </a:ln>
        </c:spPr>
        <c:txPr>
          <a:bodyPr rot="780000" vert="horz"/>
          <a:lstStyle/>
          <a:p>
            <a:pPr>
              <a:defRPr sz="1000" b="0" i="0" u="none" strike="noStrike" baseline="0">
                <a:solidFill>
                  <a:srgbClr val="000000"/>
                </a:solidFill>
                <a:latin typeface="Arial"/>
                <a:ea typeface="Arial"/>
                <a:cs typeface="Arial"/>
              </a:defRPr>
            </a:pPr>
            <a:endParaRPr lang="de-DE"/>
          </a:p>
        </c:txPr>
        <c:crossAx val="85935232"/>
        <c:crosses val="autoZero"/>
        <c:auto val="0"/>
        <c:lblAlgn val="ctr"/>
        <c:lblOffset val="100"/>
        <c:tickLblSkip val="1"/>
        <c:tickMarkSkip val="1"/>
        <c:noMultiLvlLbl val="0"/>
      </c:catAx>
      <c:valAx>
        <c:axId val="85935232"/>
        <c:scaling>
          <c:orientation val="minMax"/>
        </c:scaling>
        <c:delete val="0"/>
        <c:axPos val="l"/>
        <c:title>
          <c:tx>
            <c:rich>
              <a:bodyPr/>
              <a:lstStyle/>
              <a:p>
                <a:pPr>
                  <a:defRPr sz="1000" b="0" i="0" u="none" strike="noStrike" baseline="0">
                    <a:solidFill>
                      <a:srgbClr val="000000"/>
                    </a:solidFill>
                    <a:latin typeface="Arial"/>
                    <a:ea typeface="Arial"/>
                    <a:cs typeface="Arial"/>
                  </a:defRPr>
                </a:pPr>
                <a:r>
                  <a:rPr lang="en-GB" sz="1000" b="0" i="0" baseline="0">
                    <a:effectLst/>
                  </a:rPr>
                  <a:t>Emissions de CO2 fossile des cheminées ou équivalents CO2 en tonnes par année</a:t>
                </a:r>
                <a:endParaRPr lang="de-CH" sz="1000">
                  <a:effectLst/>
                </a:endParaRPr>
              </a:p>
            </c:rich>
          </c:tx>
          <c:layout>
            <c:manualLayout>
              <c:xMode val="edge"/>
              <c:yMode val="edge"/>
              <c:x val="0.23689375551695022"/>
              <c:y val="0.11152747229303224"/>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85589376"/>
        <c:crosses val="autoZero"/>
        <c:crossBetween val="between"/>
      </c:valAx>
      <c:valAx>
        <c:axId val="86195584"/>
        <c:scaling>
          <c:orientation val="minMax"/>
        </c:scaling>
        <c:delete val="0"/>
        <c:axPos val="r"/>
        <c:title>
          <c:tx>
            <c:rich>
              <a:bodyPr rot="-5400000" vert="horz"/>
              <a:lstStyle/>
              <a:p>
                <a:pPr>
                  <a:defRPr sz="1000" b="0"/>
                </a:pPr>
                <a:r>
                  <a:rPr lang="en-GB" sz="1000" b="0" i="0" baseline="0">
                    <a:effectLst/>
                  </a:rPr>
                  <a:t>Millions d'unités de charge écologique par année</a:t>
                </a:r>
                <a:endParaRPr lang="de-CH" sz="1000">
                  <a:effectLst/>
                </a:endParaRPr>
              </a:p>
            </c:rich>
          </c:tx>
          <c:layout>
            <c:manualLayout>
              <c:xMode val="edge"/>
              <c:yMode val="edge"/>
              <c:x val="0.96594832170099998"/>
              <c:y val="9.3135165877566387E-2"/>
            </c:manualLayout>
          </c:layout>
          <c:overlay val="0"/>
        </c:title>
        <c:numFmt formatCode="0.0" sourceLinked="0"/>
        <c:majorTickMark val="out"/>
        <c:minorTickMark val="none"/>
        <c:tickLblPos val="nextTo"/>
        <c:txPr>
          <a:bodyPr/>
          <a:lstStyle/>
          <a:p>
            <a:pPr>
              <a:defRPr sz="1000"/>
            </a:pPr>
            <a:endParaRPr lang="de-DE"/>
          </a:p>
        </c:txPr>
        <c:crossAx val="86210816"/>
        <c:crosses val="max"/>
        <c:crossBetween val="between"/>
      </c:valAx>
      <c:catAx>
        <c:axId val="86210816"/>
        <c:scaling>
          <c:orientation val="minMax"/>
        </c:scaling>
        <c:delete val="1"/>
        <c:axPos val="b"/>
        <c:numFmt formatCode="General" sourceLinked="1"/>
        <c:majorTickMark val="out"/>
        <c:minorTickMark val="none"/>
        <c:tickLblPos val="nextTo"/>
        <c:crossAx val="86195584"/>
        <c:crosses val="autoZero"/>
        <c:auto val="1"/>
        <c:lblAlgn val="ctr"/>
        <c:lblOffset val="100"/>
        <c:noMultiLvlLbl val="0"/>
      </c:catAx>
      <c:spPr>
        <a:solidFill>
          <a:srgbClr val="E3E3E3"/>
        </a:solidFill>
        <a:ln w="12700">
          <a:solidFill>
            <a:srgbClr val="808080"/>
          </a:solidFill>
          <a:prstDash val="solid"/>
        </a:ln>
      </c:spPr>
    </c:plotArea>
    <c:legend>
      <c:legendPos val="l"/>
      <c:legendEntry>
        <c:idx val="2"/>
        <c:delete val="1"/>
      </c:legendEntry>
      <c:legendEntry>
        <c:idx val="3"/>
        <c:delete val="1"/>
      </c:legendEntry>
      <c:legendEntry>
        <c:idx val="4"/>
        <c:delete val="1"/>
      </c:legendEntry>
      <c:layout>
        <c:manualLayout>
          <c:xMode val="edge"/>
          <c:yMode val="edge"/>
          <c:x val="3.8914036104553358E-2"/>
          <c:y val="0.29344647398147045"/>
          <c:w val="0.17536587549536559"/>
          <c:h val="0.3735088645115795"/>
        </c:manualLayout>
      </c:layout>
      <c:overlay val="0"/>
      <c:txPr>
        <a:bodyPr/>
        <a:lstStyle/>
        <a:p>
          <a:pPr>
            <a:defRPr sz="1000"/>
          </a:pPr>
          <a:endParaRPr lang="de-DE"/>
        </a:p>
      </c:txPr>
    </c:legend>
    <c:plotVisOnly val="1"/>
    <c:dispBlanksAs val="gap"/>
    <c:showDLblsOverMax val="0"/>
  </c:chart>
  <c:spPr>
    <a:solidFill>
      <a:srgbClr val="F8F8F8"/>
    </a:solidFill>
    <a:ln w="9525">
      <a:noFill/>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1" l="0.75" r="0.75" t="1" header="0.4921259845" footer="0.4921259845"/>
    <c:pageSetup paperSize="9" orientation="landscape" horizontalDpi="-4"/>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57150</xdr:colOff>
      <xdr:row>33</xdr:row>
      <xdr:rowOff>114300</xdr:rowOff>
    </xdr:from>
    <xdr:to>
      <xdr:col>13</xdr:col>
      <xdr:colOff>22411</xdr:colOff>
      <xdr:row>34</xdr:row>
      <xdr:rowOff>9525</xdr:rowOff>
    </xdr:to>
    <xdr:graphicFrame macro="">
      <xdr:nvGraphicFramePr>
        <xdr:cNvPr id="4" name="Chart 6">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xdr:colOff>
      <xdr:row>45</xdr:row>
      <xdr:rowOff>145676</xdr:rowOff>
    </xdr:from>
    <xdr:to>
      <xdr:col>12</xdr:col>
      <xdr:colOff>704851</xdr:colOff>
      <xdr:row>46</xdr:row>
      <xdr:rowOff>3832412</xdr:rowOff>
    </xdr:to>
    <xdr:graphicFrame macro="">
      <xdr:nvGraphicFramePr>
        <xdr:cNvPr id="6" name="Chart 9">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reeze_V8weiss">
  <a:themeElements>
    <a:clrScheme name="Benutzerdefiniert 2">
      <a:dk1>
        <a:srgbClr val="213138"/>
      </a:dk1>
      <a:lt1>
        <a:srgbClr val="F5F4F3"/>
      </a:lt1>
      <a:dk2>
        <a:srgbClr val="41545D"/>
      </a:dk2>
      <a:lt2>
        <a:srgbClr val="BCDADE"/>
      </a:lt2>
      <a:accent1>
        <a:srgbClr val="229DCE"/>
      </a:accent1>
      <a:accent2>
        <a:srgbClr val="A0003A"/>
      </a:accent2>
      <a:accent3>
        <a:srgbClr val="E47823"/>
      </a:accent3>
      <a:accent4>
        <a:srgbClr val="62AED5"/>
      </a:accent4>
      <a:accent5>
        <a:srgbClr val="CA6E78"/>
      </a:accent5>
      <a:accent6>
        <a:srgbClr val="F1B573"/>
      </a:accent6>
      <a:hlink>
        <a:srgbClr val="A0003A"/>
      </a:hlink>
      <a:folHlink>
        <a:srgbClr val="E47823"/>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wwf.ch/chauffe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44"/>
  <sheetViews>
    <sheetView showZeros="0" tabSelected="1" topLeftCell="A58" zoomScale="85" zoomScaleNormal="85" workbookViewId="0">
      <selection activeCell="C77" sqref="C77"/>
    </sheetView>
  </sheetViews>
  <sheetFormatPr baseColWidth="10" defaultColWidth="9.109375" defaultRowHeight="13.2" x14ac:dyDescent="0.25"/>
  <cols>
    <col min="1" max="1" width="33.33203125" style="64" customWidth="1"/>
    <col min="2" max="2" width="5.33203125" style="58" customWidth="1"/>
    <col min="3" max="3" width="12.33203125" style="58" bestFit="1" customWidth="1"/>
    <col min="4" max="13" width="10.88671875" style="58" customWidth="1"/>
    <col min="14" max="14" width="138" style="94" customWidth="1"/>
    <col min="15" max="256" width="11.44140625" style="58" customWidth="1"/>
    <col min="257" max="16384" width="9.109375" style="58"/>
  </cols>
  <sheetData>
    <row r="1" spans="1:16" ht="17.399999999999999" x14ac:dyDescent="0.3">
      <c r="A1" s="142" t="s">
        <v>62</v>
      </c>
      <c r="G1" s="39"/>
      <c r="H1" s="40"/>
      <c r="I1" s="40"/>
      <c r="K1" s="163"/>
      <c r="L1" s="163"/>
      <c r="N1" s="120" t="s">
        <v>65</v>
      </c>
    </row>
    <row r="2" spans="1:16" x14ac:dyDescent="0.25">
      <c r="A2" s="84" t="s">
        <v>63</v>
      </c>
      <c r="E2" s="152" t="s">
        <v>64</v>
      </c>
      <c r="F2" s="152"/>
      <c r="G2" s="152"/>
      <c r="N2" s="150" t="s">
        <v>66</v>
      </c>
    </row>
    <row r="3" spans="1:16" x14ac:dyDescent="0.25">
      <c r="C3" s="60"/>
      <c r="N3" s="150"/>
    </row>
    <row r="4" spans="1:16" ht="12.75" customHeight="1" x14ac:dyDescent="0.25">
      <c r="A4" s="151" t="s">
        <v>227</v>
      </c>
      <c r="B4" s="151"/>
      <c r="C4" s="151"/>
      <c r="D4" s="151"/>
      <c r="E4" s="151"/>
      <c r="F4" s="151"/>
      <c r="G4" s="151"/>
      <c r="H4" s="151"/>
      <c r="I4" s="151"/>
      <c r="J4" s="151"/>
      <c r="K4" s="151"/>
      <c r="L4" s="151"/>
    </row>
    <row r="5" spans="1:16" x14ac:dyDescent="0.25">
      <c r="A5" s="151"/>
      <c r="B5" s="151"/>
      <c r="C5" s="151"/>
      <c r="D5" s="151"/>
      <c r="E5" s="151"/>
      <c r="F5" s="151"/>
      <c r="G5" s="151"/>
      <c r="H5" s="151"/>
      <c r="I5" s="151"/>
      <c r="J5" s="151"/>
      <c r="K5" s="151"/>
      <c r="L5" s="151"/>
    </row>
    <row r="6" spans="1:16" s="62" customFormat="1" x14ac:dyDescent="0.25">
      <c r="A6" s="73" t="s">
        <v>67</v>
      </c>
      <c r="B6" s="76"/>
      <c r="C6" s="76"/>
      <c r="D6" s="77"/>
      <c r="E6" s="77"/>
      <c r="F6" s="78"/>
      <c r="G6" s="76"/>
      <c r="H6" s="77"/>
      <c r="I6" s="77"/>
      <c r="J6" s="77"/>
      <c r="K6" s="77"/>
      <c r="L6" s="77"/>
      <c r="M6" s="58"/>
      <c r="N6" s="121"/>
    </row>
    <row r="7" spans="1:16" s="62" customFormat="1" x14ac:dyDescent="0.25">
      <c r="A7" s="143"/>
      <c r="B7" s="76"/>
      <c r="C7" s="76"/>
      <c r="D7" s="77"/>
      <c r="E7" s="77"/>
      <c r="F7" s="78"/>
      <c r="G7" s="76"/>
      <c r="H7" s="77"/>
      <c r="I7" s="77"/>
      <c r="J7" s="77"/>
      <c r="K7" s="77"/>
      <c r="L7" s="77"/>
      <c r="M7" s="58"/>
    </row>
    <row r="8" spans="1:16" s="62" customFormat="1" x14ac:dyDescent="0.25">
      <c r="A8" s="159" t="s">
        <v>69</v>
      </c>
      <c r="B8" s="159"/>
      <c r="C8" s="159"/>
      <c r="D8" s="159"/>
      <c r="E8" s="159"/>
      <c r="F8" s="159"/>
      <c r="G8" s="159"/>
      <c r="H8" s="159"/>
      <c r="I8" s="159"/>
      <c r="J8" s="159"/>
      <c r="K8" s="159"/>
      <c r="L8" s="159"/>
      <c r="M8" s="58"/>
      <c r="N8" s="121" t="s">
        <v>71</v>
      </c>
    </row>
    <row r="9" spans="1:16" s="62" customFormat="1" x14ac:dyDescent="0.25">
      <c r="A9" s="144" t="s">
        <v>68</v>
      </c>
      <c r="B9" s="59"/>
      <c r="C9" s="59"/>
      <c r="D9" s="41"/>
      <c r="E9" s="135"/>
      <c r="F9" s="135" t="s">
        <v>70</v>
      </c>
      <c r="G9" s="122"/>
      <c r="H9" s="41"/>
      <c r="I9" s="43"/>
      <c r="J9" s="42"/>
      <c r="M9" s="58"/>
      <c r="N9" s="121"/>
    </row>
    <row r="10" spans="1:16" s="62" customFormat="1" x14ac:dyDescent="0.25">
      <c r="A10" s="145"/>
      <c r="B10" s="59"/>
      <c r="C10" s="59"/>
      <c r="D10" s="41"/>
      <c r="E10" s="41"/>
      <c r="F10" s="95"/>
      <c r="G10" s="122"/>
      <c r="H10" s="41"/>
      <c r="I10" s="43"/>
      <c r="J10" s="42"/>
      <c r="M10" s="58"/>
      <c r="N10" s="121"/>
    </row>
    <row r="11" spans="1:16" ht="15.6" x14ac:dyDescent="0.3">
      <c r="A11" s="63" t="s">
        <v>72</v>
      </c>
      <c r="B11" s="64"/>
      <c r="K11" s="64"/>
      <c r="L11" s="64"/>
    </row>
    <row r="12" spans="1:16" ht="16.2" thickBot="1" x14ac:dyDescent="0.35">
      <c r="A12" s="63"/>
      <c r="B12" s="64"/>
      <c r="C12" s="64"/>
      <c r="K12" s="64"/>
      <c r="L12" s="64"/>
      <c r="N12" s="121"/>
    </row>
    <row r="13" spans="1:16" ht="13.8" thickBot="1" x14ac:dyDescent="0.3">
      <c r="A13" s="73" t="s">
        <v>73</v>
      </c>
      <c r="B13" s="64"/>
      <c r="D13" s="92">
        <v>200</v>
      </c>
      <c r="E13" s="64" t="s">
        <v>0</v>
      </c>
      <c r="G13" s="66" t="s">
        <v>74</v>
      </c>
      <c r="H13" s="153" t="s">
        <v>75</v>
      </c>
      <c r="I13" s="154"/>
      <c r="J13" s="154"/>
      <c r="K13" s="154"/>
      <c r="L13" s="155"/>
      <c r="N13" s="66" t="s">
        <v>76</v>
      </c>
      <c r="O13" s="65"/>
      <c r="P13" s="65"/>
    </row>
    <row r="14" spans="1:16" x14ac:dyDescent="0.25">
      <c r="B14" s="64"/>
      <c r="C14" s="64"/>
      <c r="D14" s="64"/>
      <c r="E14" s="64"/>
      <c r="F14" s="64"/>
      <c r="G14" s="64"/>
      <c r="H14" s="64"/>
      <c r="I14" s="64"/>
      <c r="J14" s="64"/>
      <c r="K14" s="64"/>
      <c r="L14" s="64"/>
      <c r="N14" s="66"/>
      <c r="O14" s="65"/>
      <c r="P14" s="65"/>
    </row>
    <row r="15" spans="1:16" x14ac:dyDescent="0.25">
      <c r="A15" s="84" t="s">
        <v>77</v>
      </c>
      <c r="B15" s="64"/>
      <c r="C15" s="64"/>
      <c r="D15" s="64"/>
      <c r="E15" s="64"/>
      <c r="F15" s="64"/>
      <c r="G15" s="64"/>
      <c r="H15" s="64"/>
      <c r="I15" s="64"/>
      <c r="J15" s="64"/>
      <c r="K15" s="64"/>
      <c r="L15" s="64"/>
      <c r="N15" s="66"/>
      <c r="O15" s="65"/>
      <c r="P15" s="65"/>
    </row>
    <row r="16" spans="1:16" ht="26.4" x14ac:dyDescent="0.25">
      <c r="A16" s="44" t="s">
        <v>78</v>
      </c>
      <c r="C16" s="138" t="s">
        <v>79</v>
      </c>
      <c r="D16" s="138" t="s">
        <v>80</v>
      </c>
      <c r="E16" s="138" t="s">
        <v>81</v>
      </c>
      <c r="F16" s="138" t="s">
        <v>82</v>
      </c>
      <c r="G16" s="138" t="s">
        <v>225</v>
      </c>
      <c r="H16" s="139" t="s">
        <v>83</v>
      </c>
      <c r="I16" s="138" t="s">
        <v>93</v>
      </c>
      <c r="J16" s="138" t="s">
        <v>94</v>
      </c>
      <c r="K16" s="138" t="s">
        <v>95</v>
      </c>
      <c r="L16" s="139" t="s">
        <v>84</v>
      </c>
      <c r="N16" s="66" t="s">
        <v>107</v>
      </c>
      <c r="O16" s="65"/>
      <c r="P16" s="65"/>
    </row>
    <row r="17" spans="1:14" ht="13.8" thickBot="1" x14ac:dyDescent="0.3">
      <c r="A17" s="44" t="s">
        <v>87</v>
      </c>
      <c r="C17" s="47" t="s">
        <v>3</v>
      </c>
      <c r="D17" s="47" t="s">
        <v>9</v>
      </c>
      <c r="E17" s="47" t="s">
        <v>2</v>
      </c>
      <c r="F17" s="47" t="s">
        <v>3</v>
      </c>
      <c r="G17" s="47" t="s">
        <v>3</v>
      </c>
      <c r="H17" s="47" t="s">
        <v>11</v>
      </c>
      <c r="I17" s="47" t="s">
        <v>11</v>
      </c>
      <c r="J17" s="47" t="s">
        <v>9</v>
      </c>
      <c r="K17" s="47" t="s">
        <v>2</v>
      </c>
      <c r="L17" s="47" t="s">
        <v>3</v>
      </c>
      <c r="N17" s="66"/>
    </row>
    <row r="18" spans="1:14" ht="13.8" thickBot="1" x14ac:dyDescent="0.3">
      <c r="B18" s="86"/>
      <c r="C18" s="92"/>
      <c r="D18" s="92">
        <v>1454.54</v>
      </c>
      <c r="E18" s="92"/>
      <c r="F18" s="92"/>
      <c r="G18" s="92"/>
      <c r="H18" s="92"/>
      <c r="I18" s="92"/>
      <c r="J18" s="92"/>
      <c r="K18" s="92"/>
      <c r="L18" s="92"/>
      <c r="N18" s="151" t="s">
        <v>86</v>
      </c>
    </row>
    <row r="19" spans="1:14" x14ac:dyDescent="0.25">
      <c r="B19" s="86"/>
      <c r="C19" s="64"/>
      <c r="D19" s="64"/>
      <c r="E19" s="64"/>
      <c r="F19" s="64"/>
      <c r="G19" s="64"/>
      <c r="H19" s="64"/>
      <c r="I19" s="64"/>
      <c r="J19" s="64"/>
      <c r="K19" s="64"/>
      <c r="L19" s="64"/>
      <c r="N19" s="151"/>
    </row>
    <row r="20" spans="1:14" x14ac:dyDescent="0.25">
      <c r="A20" s="158" t="s">
        <v>88</v>
      </c>
      <c r="B20" s="158"/>
      <c r="C20" s="158"/>
      <c r="D20" s="61" t="s">
        <v>59</v>
      </c>
      <c r="E20" s="67">
        <f>(C18*0.8)+(D18*D53*D54)+(E18*E53*E54)+(F18*F53*F54)+(G18*G53*G54)+(H18*H53*H54)+(I18*I53*I54)+(J18*J53*J54)+(K18*K53*K54)+(L18*L53*L54)</f>
        <v>14399.946</v>
      </c>
      <c r="F20" s="44" t="s">
        <v>1</v>
      </c>
      <c r="G20" s="61" t="s">
        <v>89</v>
      </c>
      <c r="K20" s="67">
        <f>E20/D13</f>
        <v>71.99973</v>
      </c>
      <c r="L20" s="66" t="s">
        <v>61</v>
      </c>
    </row>
    <row r="21" spans="1:14" x14ac:dyDescent="0.25">
      <c r="A21" s="68"/>
      <c r="D21" s="61"/>
      <c r="E21" s="69"/>
      <c r="F21" s="44"/>
      <c r="G21" s="61" t="s">
        <v>90</v>
      </c>
      <c r="K21" s="69">
        <f>K20*3.6</f>
        <v>259.199028</v>
      </c>
      <c r="L21" s="66" t="s">
        <v>60</v>
      </c>
    </row>
    <row r="22" spans="1:14" ht="15.6" x14ac:dyDescent="0.3">
      <c r="A22" s="156" t="s">
        <v>91</v>
      </c>
      <c r="B22" s="156"/>
      <c r="C22" s="156"/>
      <c r="D22" s="156"/>
      <c r="E22" s="156"/>
      <c r="F22" s="156"/>
      <c r="G22" s="156"/>
      <c r="H22" s="156"/>
      <c r="I22" s="156"/>
      <c r="J22" s="156"/>
      <c r="K22" s="156"/>
      <c r="L22" s="156"/>
      <c r="N22" s="94" t="s">
        <v>92</v>
      </c>
    </row>
    <row r="23" spans="1:14" x14ac:dyDescent="0.25">
      <c r="A23" s="152" t="s">
        <v>218</v>
      </c>
      <c r="B23" s="152"/>
      <c r="C23" s="152"/>
      <c r="D23" s="152"/>
      <c r="E23" s="152"/>
      <c r="F23" s="152"/>
      <c r="G23" s="152"/>
      <c r="H23" s="152"/>
      <c r="I23" s="152"/>
      <c r="J23" s="152"/>
      <c r="K23" s="152"/>
      <c r="L23" s="152"/>
    </row>
    <row r="24" spans="1:14" x14ac:dyDescent="0.25">
      <c r="A24" s="143"/>
    </row>
    <row r="25" spans="1:14" ht="26.4" x14ac:dyDescent="0.25">
      <c r="A25" s="66"/>
      <c r="B25" s="94"/>
      <c r="C25" s="94">
        <f t="shared" ref="C25" si="0">C108</f>
        <v>0</v>
      </c>
      <c r="D25" s="138" t="str">
        <f>D16</f>
        <v>Citerne à mazout</v>
      </c>
      <c r="E25" s="138" t="str">
        <f t="shared" ref="E25:L25" si="1">E16</f>
        <v>Chaudière à gaz</v>
      </c>
      <c r="F25" s="138" t="str">
        <f t="shared" si="1"/>
        <v>PaC saline</v>
      </c>
      <c r="G25" s="138" t="str">
        <f t="shared" si="1"/>
        <v>PaC air</v>
      </c>
      <c r="H25" s="138" t="str">
        <f t="shared" si="1"/>
        <v>Granulés</v>
      </c>
      <c r="I25" s="138" t="str">
        <f t="shared" si="1"/>
        <v>Granulés / solaire</v>
      </c>
      <c r="J25" s="138" t="str">
        <f t="shared" si="1"/>
        <v>Mazout / solaire</v>
      </c>
      <c r="K25" s="138" t="str">
        <f t="shared" si="1"/>
        <v>Gaz / solaire</v>
      </c>
      <c r="L25" s="138" t="str">
        <f t="shared" si="1"/>
        <v>Chauffage à distance</v>
      </c>
      <c r="N25" s="150" t="s">
        <v>219</v>
      </c>
    </row>
    <row r="26" spans="1:14" x14ac:dyDescent="0.25">
      <c r="A26" s="66" t="s">
        <v>96</v>
      </c>
      <c r="B26" s="94"/>
      <c r="C26" s="94" t="s">
        <v>8</v>
      </c>
      <c r="D26" s="123">
        <f t="shared" ref="D26:K26" si="2">D109</f>
        <v>1621.0981591323032</v>
      </c>
      <c r="E26" s="123">
        <f t="shared" si="2"/>
        <v>1201.2804841930845</v>
      </c>
      <c r="F26" s="123">
        <f t="shared" si="2"/>
        <v>1989.7763474688991</v>
      </c>
      <c r="G26" s="123">
        <f t="shared" si="2"/>
        <v>1759.2757709282109</v>
      </c>
      <c r="H26" s="123">
        <f t="shared" si="2"/>
        <v>1815.2925220313709</v>
      </c>
      <c r="I26" s="123">
        <f t="shared" si="2"/>
        <v>2317.0029324962234</v>
      </c>
      <c r="J26" s="123">
        <f t="shared" si="2"/>
        <v>2061.0779972318674</v>
      </c>
      <c r="K26" s="123">
        <f t="shared" si="2"/>
        <v>1624.2877805220724</v>
      </c>
      <c r="L26" s="123">
        <f>IF(ISERROR(L109),0,L109)</f>
        <v>0</v>
      </c>
      <c r="N26" s="150"/>
    </row>
    <row r="27" spans="1:14" x14ac:dyDescent="0.25">
      <c r="A27" s="66" t="s">
        <v>97</v>
      </c>
      <c r="B27" s="94"/>
      <c r="C27" s="137" t="s">
        <v>8</v>
      </c>
      <c r="D27" s="123">
        <f t="shared" ref="D27:K27" si="3">D110</f>
        <v>1348.794942</v>
      </c>
      <c r="E27" s="123">
        <f t="shared" si="3"/>
        <v>1342.5133182831685</v>
      </c>
      <c r="F27" s="123">
        <f t="shared" si="3"/>
        <v>742.76242676470588</v>
      </c>
      <c r="G27" s="123">
        <f t="shared" si="3"/>
        <v>929.76625038461543</v>
      </c>
      <c r="H27" s="123">
        <f t="shared" si="3"/>
        <v>1406.1560777392122</v>
      </c>
      <c r="I27" s="123">
        <f t="shared" si="3"/>
        <v>1145.9248621913696</v>
      </c>
      <c r="J27" s="123">
        <f t="shared" si="3"/>
        <v>1179.1744323397959</v>
      </c>
      <c r="K27" s="123">
        <f t="shared" si="3"/>
        <v>1207.1363205406931</v>
      </c>
      <c r="L27" s="123">
        <f>IF(ISERROR(L110),0,L110)</f>
        <v>0</v>
      </c>
    </row>
    <row r="28" spans="1:14" x14ac:dyDescent="0.25">
      <c r="A28" s="66" t="s">
        <v>98</v>
      </c>
      <c r="B28" s="94"/>
      <c r="C28" s="137" t="s">
        <v>8</v>
      </c>
      <c r="D28" s="123">
        <f t="shared" ref="D28:K28" si="4">D111</f>
        <v>746.18172000000004</v>
      </c>
      <c r="E28" s="123">
        <f t="shared" si="4"/>
        <v>367</v>
      </c>
      <c r="F28" s="123">
        <f t="shared" si="4"/>
        <v>100</v>
      </c>
      <c r="G28" s="123">
        <f t="shared" si="4"/>
        <v>200</v>
      </c>
      <c r="H28" s="123">
        <f t="shared" si="4"/>
        <v>717.01678424015006</v>
      </c>
      <c r="I28" s="123">
        <f t="shared" si="4"/>
        <v>711.61342739212012</v>
      </c>
      <c r="J28" s="123">
        <f t="shared" si="4"/>
        <v>742.48154834693878</v>
      </c>
      <c r="K28" s="123">
        <f t="shared" si="4"/>
        <v>367</v>
      </c>
      <c r="L28" s="123">
        <f>IF(ISERROR(L111),0,L111)</f>
        <v>0</v>
      </c>
    </row>
    <row r="29" spans="1:14" x14ac:dyDescent="0.25">
      <c r="A29" s="66" t="s">
        <v>99</v>
      </c>
      <c r="B29" s="94"/>
      <c r="C29" s="137" t="s">
        <v>8</v>
      </c>
      <c r="D29" s="123">
        <f t="shared" ref="D29:K29" si="5">D120</f>
        <v>302.24177567999999</v>
      </c>
      <c r="E29" s="123">
        <f t="shared" si="5"/>
        <v>226.43627086079997</v>
      </c>
      <c r="F29" s="123">
        <f t="shared" si="5"/>
        <v>0</v>
      </c>
      <c r="G29" s="123">
        <f t="shared" si="5"/>
        <v>0</v>
      </c>
      <c r="H29" s="123">
        <f t="shared" si="5"/>
        <v>0</v>
      </c>
      <c r="I29" s="123">
        <f t="shared" si="5"/>
        <v>0</v>
      </c>
      <c r="J29" s="123">
        <f t="shared" si="5"/>
        <v>259.52699411706124</v>
      </c>
      <c r="K29" s="123">
        <f t="shared" si="5"/>
        <v>192.47083023168</v>
      </c>
      <c r="L29" s="123">
        <f>IF(ISERROR(L120),0,L120)</f>
        <v>0</v>
      </c>
    </row>
    <row r="30" spans="1:14" x14ac:dyDescent="0.25">
      <c r="A30" s="66" t="s">
        <v>100</v>
      </c>
      <c r="B30" s="94"/>
      <c r="C30" s="137" t="s">
        <v>8</v>
      </c>
      <c r="D30" s="123">
        <f>D122</f>
        <v>654.54300000000001</v>
      </c>
      <c r="E30" s="123">
        <f t="shared" ref="E30:L30" si="6">E122</f>
        <v>431.99838000000005</v>
      </c>
      <c r="F30" s="123">
        <f t="shared" si="6"/>
        <v>211.76391176470588</v>
      </c>
      <c r="G30" s="123">
        <f t="shared" si="6"/>
        <v>276.92203846153842</v>
      </c>
      <c r="H30" s="123">
        <f t="shared" si="6"/>
        <v>263.41364634146339</v>
      </c>
      <c r="I30" s="123">
        <f t="shared" si="6"/>
        <v>210.73091707317076</v>
      </c>
      <c r="J30" s="123">
        <f t="shared" si="6"/>
        <v>562.03870867346939</v>
      </c>
      <c r="K30" s="123">
        <f t="shared" si="6"/>
        <v>367.198623</v>
      </c>
      <c r="L30" s="123">
        <f t="shared" si="6"/>
        <v>259.199028</v>
      </c>
    </row>
    <row r="31" spans="1:14" x14ac:dyDescent="0.25">
      <c r="A31" s="134" t="s">
        <v>101</v>
      </c>
      <c r="B31" s="121"/>
      <c r="C31" s="121" t="s">
        <v>8</v>
      </c>
      <c r="D31" s="124">
        <f t="shared" ref="D31:K31" si="7">D124</f>
        <v>4672.8595968123027</v>
      </c>
      <c r="E31" s="124">
        <f t="shared" si="7"/>
        <v>3569.228453337053</v>
      </c>
      <c r="F31" s="124">
        <f t="shared" si="7"/>
        <v>3044.3026859983111</v>
      </c>
      <c r="G31" s="124">
        <f t="shared" si="7"/>
        <v>3165.9640597743646</v>
      </c>
      <c r="H31" s="124">
        <f t="shared" si="7"/>
        <v>4201.8790303521964</v>
      </c>
      <c r="I31" s="124">
        <f t="shared" si="7"/>
        <v>4385.272139152883</v>
      </c>
      <c r="J31" s="124">
        <f t="shared" si="7"/>
        <v>4804.2996807091322</v>
      </c>
      <c r="K31" s="124">
        <f t="shared" si="7"/>
        <v>3758.0935542944453</v>
      </c>
      <c r="L31" s="124">
        <f>IF(ISERROR(L124),0,L124)</f>
        <v>259.199028</v>
      </c>
    </row>
    <row r="32" spans="1:14" x14ac:dyDescent="0.25">
      <c r="A32" s="146"/>
      <c r="B32" s="78"/>
      <c r="C32" s="78"/>
      <c r="D32" s="125"/>
      <c r="E32" s="125"/>
      <c r="F32" s="125"/>
      <c r="G32" s="125"/>
      <c r="H32" s="125"/>
      <c r="I32" s="125"/>
      <c r="J32" s="125"/>
      <c r="K32" s="125"/>
      <c r="L32" s="125"/>
    </row>
    <row r="33" spans="1:14" x14ac:dyDescent="0.25">
      <c r="A33" s="134" t="s">
        <v>102</v>
      </c>
      <c r="B33" s="78"/>
      <c r="C33" s="121" t="str">
        <f t="shared" ref="C33:K33" si="8">C126</f>
        <v>ct/kWh</v>
      </c>
      <c r="D33" s="124">
        <f t="shared" si="8"/>
        <v>32.450535556260441</v>
      </c>
      <c r="E33" s="124">
        <f t="shared" si="8"/>
        <v>24.78640165273573</v>
      </c>
      <c r="F33" s="124">
        <f t="shared" si="8"/>
        <v>21.141070154001348</v>
      </c>
      <c r="G33" s="124">
        <f t="shared" si="8"/>
        <v>21.985943973500767</v>
      </c>
      <c r="H33" s="124">
        <f t="shared" si="8"/>
        <v>29.179824912900344</v>
      </c>
      <c r="I33" s="124">
        <f t="shared" si="8"/>
        <v>30.453392944340784</v>
      </c>
      <c r="J33" s="124">
        <f t="shared" si="8"/>
        <v>33.363317339586771</v>
      </c>
      <c r="K33" s="124">
        <f t="shared" si="8"/>
        <v>26.097969772209183</v>
      </c>
      <c r="L33" s="124">
        <f>IF(ISERROR(L126),0,L126)</f>
        <v>1.7999999999999998</v>
      </c>
    </row>
    <row r="34" spans="1:14" ht="285" customHeight="1" x14ac:dyDescent="0.25">
      <c r="A34" s="157"/>
      <c r="B34" s="157"/>
      <c r="C34" s="157"/>
      <c r="D34" s="157"/>
      <c r="E34" s="157"/>
      <c r="F34" s="157"/>
      <c r="G34" s="157"/>
      <c r="H34" s="157"/>
      <c r="I34" s="157"/>
      <c r="J34" s="157"/>
      <c r="K34" s="157"/>
      <c r="L34" s="157"/>
      <c r="M34" s="157"/>
    </row>
    <row r="35" spans="1:14" ht="12.75" customHeight="1" x14ac:dyDescent="0.25">
      <c r="A35" s="151" t="s">
        <v>219</v>
      </c>
      <c r="B35" s="151"/>
      <c r="C35" s="151"/>
      <c r="D35" s="151"/>
      <c r="E35" s="151"/>
      <c r="F35" s="151"/>
      <c r="G35" s="151"/>
      <c r="H35" s="151"/>
      <c r="I35" s="151"/>
      <c r="J35" s="151"/>
      <c r="K35" s="151"/>
      <c r="L35" s="151"/>
      <c r="M35" s="126"/>
    </row>
    <row r="36" spans="1:14" x14ac:dyDescent="0.25">
      <c r="A36" s="151"/>
      <c r="B36" s="151"/>
      <c r="C36" s="151"/>
      <c r="D36" s="151"/>
      <c r="E36" s="151"/>
      <c r="F36" s="151"/>
      <c r="G36" s="151"/>
      <c r="H36" s="151"/>
      <c r="I36" s="151"/>
      <c r="J36" s="151"/>
      <c r="K36" s="151"/>
      <c r="L36" s="151"/>
      <c r="M36" s="126"/>
    </row>
    <row r="37" spans="1:14" x14ac:dyDescent="0.25">
      <c r="A37" s="147"/>
      <c r="B37" s="127"/>
      <c r="C37" s="127"/>
      <c r="D37" s="127"/>
      <c r="E37" s="127"/>
      <c r="F37" s="127"/>
      <c r="G37" s="127"/>
      <c r="H37" s="127"/>
      <c r="I37" s="127"/>
      <c r="J37" s="127"/>
      <c r="K37" s="127"/>
      <c r="L37" s="127"/>
    </row>
    <row r="38" spans="1:14" ht="15.6" x14ac:dyDescent="0.3">
      <c r="A38" s="156" t="s">
        <v>103</v>
      </c>
      <c r="B38" s="156"/>
      <c r="C38" s="156"/>
      <c r="D38" s="156"/>
      <c r="E38" s="156"/>
      <c r="F38" s="156"/>
      <c r="G38" s="156"/>
      <c r="H38" s="156"/>
      <c r="I38" s="156"/>
      <c r="J38" s="156"/>
      <c r="K38" s="156"/>
      <c r="L38" s="156"/>
      <c r="N38" s="120" t="s">
        <v>65</v>
      </c>
    </row>
    <row r="39" spans="1:14" x14ac:dyDescent="0.25">
      <c r="A39" s="147"/>
      <c r="B39" s="127"/>
      <c r="C39" s="127"/>
      <c r="D39" s="127"/>
      <c r="E39" s="127"/>
      <c r="F39" s="127"/>
      <c r="G39" s="127"/>
      <c r="H39" s="127"/>
      <c r="I39" s="127"/>
      <c r="J39" s="127"/>
      <c r="K39" s="127"/>
      <c r="L39" s="127"/>
    </row>
    <row r="40" spans="1:14" ht="15.6" x14ac:dyDescent="0.3">
      <c r="A40" s="63"/>
      <c r="B40" s="64"/>
      <c r="C40" s="64"/>
      <c r="D40" s="46"/>
      <c r="E40" s="46"/>
      <c r="F40" s="160" t="s">
        <v>104</v>
      </c>
      <c r="G40" s="160"/>
      <c r="H40" s="161" t="s">
        <v>105</v>
      </c>
      <c r="I40" s="161"/>
      <c r="J40" s="47"/>
      <c r="K40" s="46"/>
      <c r="L40" s="95" t="s">
        <v>106</v>
      </c>
    </row>
    <row r="41" spans="1:14" ht="12.75" customHeight="1" x14ac:dyDescent="0.25">
      <c r="A41" s="164" t="s">
        <v>108</v>
      </c>
      <c r="D41" s="54"/>
      <c r="E41" s="54"/>
      <c r="F41" s="136" t="s">
        <v>206</v>
      </c>
      <c r="G41" s="136" t="s">
        <v>206</v>
      </c>
      <c r="H41" s="136" t="s">
        <v>207</v>
      </c>
      <c r="I41" s="136" t="s">
        <v>207</v>
      </c>
      <c r="J41" s="55"/>
      <c r="K41" s="61"/>
      <c r="L41" s="136" t="s">
        <v>211</v>
      </c>
      <c r="N41" s="151" t="s">
        <v>226</v>
      </c>
    </row>
    <row r="42" spans="1:14" ht="39.6" x14ac:dyDescent="0.25">
      <c r="D42" s="138" t="str">
        <f>D16</f>
        <v>Citerne à mazout</v>
      </c>
      <c r="E42" s="138" t="str">
        <f t="shared" ref="E42:K42" si="9">E16</f>
        <v>Chaudière à gaz</v>
      </c>
      <c r="F42" s="138" t="str">
        <f>F16&amp;" "&amp;F41</f>
        <v>PaC saline Mix équilibré</v>
      </c>
      <c r="G42" s="138" t="str">
        <f t="shared" ref="G42:I42" si="10">G16&amp;" "&amp;G41</f>
        <v>PaC air Mix équilibré</v>
      </c>
      <c r="H42" s="138" t="str">
        <f t="shared" si="10"/>
        <v>Granulés avec FP</v>
      </c>
      <c r="I42" s="138" t="str">
        <f t="shared" si="10"/>
        <v>Granulés / solaire avec FP</v>
      </c>
      <c r="J42" s="138" t="str">
        <f t="shared" si="9"/>
        <v>Mazout / solaire</v>
      </c>
      <c r="K42" s="138" t="str">
        <f t="shared" si="9"/>
        <v>Gaz / solaire</v>
      </c>
      <c r="L42" s="138" t="str">
        <f t="shared" ref="L42" si="11">L16&amp;" "&amp;L41</f>
        <v>Chauffage à distance Suisse</v>
      </c>
      <c r="N42" s="152"/>
    </row>
    <row r="43" spans="1:14" x14ac:dyDescent="0.25">
      <c r="A43" s="73" t="s">
        <v>109</v>
      </c>
      <c r="C43" s="61" t="s">
        <v>185</v>
      </c>
      <c r="D43" s="79">
        <f>0.074/1000*3.6*D52*D53</f>
        <v>3.8748945599999995</v>
      </c>
      <c r="E43" s="79">
        <f>0.056/1000*3.6*E52*E53</f>
        <v>2.9030291135999997</v>
      </c>
      <c r="F43" s="80">
        <v>0</v>
      </c>
      <c r="G43" s="80">
        <v>0</v>
      </c>
      <c r="H43" s="81">
        <v>0</v>
      </c>
      <c r="I43" s="82">
        <v>0</v>
      </c>
      <c r="J43" s="79">
        <f>0.074/1000*3.6*J52*J53</f>
        <v>3.3272691553469387</v>
      </c>
      <c r="K43" s="79">
        <f>0.056/1000*3.6*K52*K53</f>
        <v>2.46757474656</v>
      </c>
      <c r="L43" s="83">
        <v>0</v>
      </c>
      <c r="N43" s="152"/>
    </row>
    <row r="44" spans="1:14" x14ac:dyDescent="0.25">
      <c r="A44" s="64" t="s">
        <v>110</v>
      </c>
      <c r="C44" s="61" t="s">
        <v>185</v>
      </c>
      <c r="D44" s="79">
        <f>'Valeurs environnementales clés'!K6*3.6*E20/1000*1/D54</f>
        <v>4.6789383230063999</v>
      </c>
      <c r="E44" s="79">
        <f>'Valeurs environnementales clés'!K7*3.6*E20/1000*(1/0.98)/E54</f>
        <v>3.6535344507046363</v>
      </c>
      <c r="F44" s="79">
        <f>IF(F41=illustration!B18,'Valeurs environnementales clés'!K9*3.6*E20/1000*3.9/F54,IF(F41=illustration!B19,'Valeurs environnementales clés'!K29*3.6*E20/1000*3.9/F54,illustration!F17))</f>
        <v>0.90723785028765636</v>
      </c>
      <c r="G44" s="79">
        <f>IF(G41=illustration!B18,'Valeurs environnementales clés'!K8*3.6*E20/1000*2.8/G54,IF(G41=illustration!B19,'Valeurs environnementales clés'!K23*3.6*E20/1000*2.8/G54,illustration!F17))</f>
        <v>1.1770586672688297</v>
      </c>
      <c r="H44" s="79">
        <f>IF(H41=illustration!C18,'Valeurs environnementales clés'!K10*3.6*E20/1000*(1/1.18)/H54,'Valeurs environnementales clés'!K11*3.6*E20/1000*(1/1.18)/H54)</f>
        <v>0.70757353972693604</v>
      </c>
      <c r="I44" s="79">
        <f>IF(I41=illustration!C18,'Valeurs environnementales clés'!K10,'Valeurs environnementales clés'!K11)*3.6*E20/1000*(1-I56)*(1/1.18)/I54+'Valeurs environnementales clés'!K12*3.6*E20/1000*(I56)</f>
        <v>0.67771617434494402</v>
      </c>
      <c r="J44" s="79">
        <f>'Valeurs environnementales clés'!K6*3.6*E20/1000*(1-J56)*1/J54+'Valeurs environnementales clés'!K12*3.6*E20/1000*(J56)</f>
        <v>4.1014232097897763</v>
      </c>
      <c r="K44" s="79">
        <f>'Valeurs environnementales clés'!K7*3.6*E20/1000*(1-K56)*(1/0.98)/K54+'Valeurs environnementales clés'!K12*3.6*E20/1000*(K56)</f>
        <v>3.1892472900214872</v>
      </c>
      <c r="L44" s="79">
        <f>IF(L41= illustration!D18,'Valeurs environnementales clés'!K14*3.6*E20/1000*1/L54,IF(L41=illustration!D19,'Valeurs environnementales clés'!K13*3.6*E20/1000*1/L54,IF(L41=illustration!D20,'Valeurs environnementales clés'!K15*3.6*E20/1000*1/L54,illustration!F17)))</f>
        <v>1.5584676962042232</v>
      </c>
      <c r="N44" s="152"/>
    </row>
    <row r="45" spans="1:14" x14ac:dyDescent="0.25">
      <c r="A45" s="74" t="s">
        <v>111</v>
      </c>
      <c r="C45" s="61" t="s">
        <v>186</v>
      </c>
      <c r="D45" s="79">
        <f>'Valeurs environnementales clés'!H6*3.6*E20/1000000*1/D54</f>
        <v>3.5558208707126395</v>
      </c>
      <c r="E45" s="79">
        <f>'Valeurs environnementales clés'!H7*3.6*E20/1000000*(1/0.98)/E85</f>
        <v>2.2187231024510421</v>
      </c>
      <c r="F45" s="79">
        <f>IF(F41=illustration!B18,'Valeurs environnementales clés'!H9*3.6*E20/1000000*3.9/F54,IF(F41=illustration!B19,'Valeurs environnementales clés'!H29*3.6*E20/1000000*3.9/F54,illustration!F17))</f>
        <v>1.9532346343073599</v>
      </c>
      <c r="G45" s="79">
        <f>IF(G41=illustration!B18,'Valeurs environnementales clés'!H8*3.6*E20/1000000*2.8/G54,IF(G41=illustration!B19,'Valeurs environnementales clés'!H23*3.6*E20/1000000*2.8/G54,illustration!F17))</f>
        <v>2.4941376862593714</v>
      </c>
      <c r="H45" s="79">
        <f>IF(H41=illustration!C18,'Valeurs environnementales clés'!H10*3.6*E20/1000000*(1/1.18)/H54,'Valeurs environnementales clés'!H11*3.6*E20/1000000*(1/1.18)/H54)</f>
        <v>1.5438116982412635</v>
      </c>
      <c r="I45" s="79">
        <f>IF(I41=illustration!C18,'Valeurs environnementales clés'!H10,'Valeurs environnementales clés'!H11)*3.6*E20/1000000*(1-I56)*(1/1.18)/I54+'Valeurs environnementales clés'!H12*3.6*E20/1000000*(I56)</f>
        <v>1.5081298942171621</v>
      </c>
      <c r="J45" s="79">
        <f>'Valeurs environnementales clés'!H6*3.6*E20/1000000*(1-J56)*1/J54+'Valeurs environnementales clés'!H12*3.6*E20/1000000*(J56)</f>
        <v>3.2580994452943242</v>
      </c>
      <c r="K45" s="79">
        <f>'Valeurs environnementales clés'!H7*3.6*E20/1000000*(1-K56)*(1/0.98)/K54+'Valeurs environnementales clés'!H12*3.6*E20/1000000*(K56)</f>
        <v>2.0907250388014993</v>
      </c>
      <c r="L45" s="79">
        <f>IF(L41=illustration!D18,'Valeurs environnementales clés'!H14*3.6*E20/1000000*1/L54,IF(L41=illustration!D19,'Valeurs environnementales clés'!H13*3.6*E20/1000000*1/L54,IF(L41=illustration!D20,'Valeurs environnementales clés'!H15*3.6*E20/1000000*1/L54,illustration!F17)))</f>
        <v>1.30937110583994</v>
      </c>
      <c r="N45" s="152"/>
    </row>
    <row r="46" spans="1:14" x14ac:dyDescent="0.25">
      <c r="D46" s="54"/>
      <c r="E46" s="54"/>
      <c r="F46" s="54"/>
      <c r="G46" s="54"/>
      <c r="H46" s="54"/>
      <c r="I46" s="54"/>
      <c r="J46" s="54"/>
      <c r="K46" s="54"/>
      <c r="L46" s="54"/>
      <c r="N46" s="152"/>
    </row>
    <row r="47" spans="1:14" ht="303" customHeight="1" x14ac:dyDescent="0.25">
      <c r="A47" s="157"/>
      <c r="B47" s="157"/>
      <c r="C47" s="157"/>
      <c r="D47" s="157"/>
      <c r="E47" s="157"/>
      <c r="F47" s="157"/>
      <c r="G47" s="157"/>
      <c r="H47" s="157"/>
      <c r="I47" s="157"/>
      <c r="J47" s="157"/>
      <c r="K47" s="157"/>
      <c r="L47" s="157"/>
      <c r="M47" s="157"/>
    </row>
    <row r="48" spans="1:14" x14ac:dyDescent="0.25">
      <c r="A48" s="68"/>
      <c r="D48" s="61"/>
      <c r="E48" s="69"/>
      <c r="F48" s="44"/>
      <c r="H48" s="61"/>
      <c r="K48" s="69"/>
      <c r="L48" s="66"/>
    </row>
    <row r="49" spans="1:15" s="70" customFormat="1" ht="15.6" x14ac:dyDescent="0.3">
      <c r="A49" s="156" t="s">
        <v>112</v>
      </c>
      <c r="B49" s="156"/>
      <c r="C49" s="156"/>
      <c r="D49" s="156"/>
      <c r="E49" s="156"/>
      <c r="F49" s="156"/>
      <c r="G49" s="156"/>
      <c r="H49" s="156"/>
      <c r="I49" s="156"/>
      <c r="J49" s="156"/>
      <c r="K49" s="156"/>
      <c r="L49" s="156"/>
      <c r="N49" s="128"/>
    </row>
    <row r="50" spans="1:15" s="70" customFormat="1" ht="15.6" x14ac:dyDescent="0.3">
      <c r="A50" s="88"/>
      <c r="B50" s="88"/>
      <c r="C50" s="88"/>
      <c r="D50" s="88"/>
      <c r="E50" s="88"/>
      <c r="F50" s="88"/>
      <c r="G50" s="88"/>
      <c r="H50" s="88"/>
      <c r="I50" s="88"/>
      <c r="J50" s="88"/>
      <c r="K50" s="88"/>
      <c r="L50" s="88"/>
      <c r="N50" s="128"/>
    </row>
    <row r="51" spans="1:15" ht="26.4" x14ac:dyDescent="0.25">
      <c r="A51" s="84"/>
      <c r="B51" s="44"/>
      <c r="C51" s="44"/>
      <c r="D51" s="138" t="str">
        <f>D16</f>
        <v>Citerne à mazout</v>
      </c>
      <c r="E51" s="138" t="str">
        <f t="shared" ref="E51:L51" si="12">E16</f>
        <v>Chaudière à gaz</v>
      </c>
      <c r="F51" s="138" t="str">
        <f t="shared" si="12"/>
        <v>PaC saline</v>
      </c>
      <c r="G51" s="138" t="str">
        <f t="shared" si="12"/>
        <v>PaC air</v>
      </c>
      <c r="H51" s="138" t="str">
        <f t="shared" si="12"/>
        <v>Granulés</v>
      </c>
      <c r="I51" s="138" t="str">
        <f t="shared" si="12"/>
        <v>Granulés / solaire</v>
      </c>
      <c r="J51" s="138" t="str">
        <f t="shared" si="12"/>
        <v>Mazout / solaire</v>
      </c>
      <c r="K51" s="138" t="str">
        <f t="shared" si="12"/>
        <v>Gaz / solaire</v>
      </c>
      <c r="L51" s="138" t="str">
        <f t="shared" si="12"/>
        <v>Chauffage à distance</v>
      </c>
    </row>
    <row r="52" spans="1:15" x14ac:dyDescent="0.25">
      <c r="A52" s="73" t="s">
        <v>113</v>
      </c>
      <c r="B52" s="64"/>
      <c r="C52" s="66"/>
      <c r="D52" s="45">
        <f t="shared" ref="D52:L52" si="13">$E$20/D53/D54*(1-D56)</f>
        <v>1454.54</v>
      </c>
      <c r="E52" s="45">
        <f t="shared" si="13"/>
        <v>1425.7372277227723</v>
      </c>
      <c r="F52" s="45">
        <f t="shared" si="13"/>
        <v>4235.2782352941176</v>
      </c>
      <c r="G52" s="45">
        <f t="shared" si="13"/>
        <v>5538.4407692307686</v>
      </c>
      <c r="H52" s="45">
        <f t="shared" si="13"/>
        <v>3.3770980300187619</v>
      </c>
      <c r="I52" s="45">
        <f t="shared" si="13"/>
        <v>2.7016784240150096</v>
      </c>
      <c r="J52" s="45">
        <f t="shared" si="13"/>
        <v>1248.9749081632654</v>
      </c>
      <c r="K52" s="45">
        <f t="shared" si="13"/>
        <v>1211.8766435643565</v>
      </c>
      <c r="L52" s="45">
        <f t="shared" si="13"/>
        <v>14399.946</v>
      </c>
      <c r="N52" s="66" t="s">
        <v>234</v>
      </c>
    </row>
    <row r="53" spans="1:15" x14ac:dyDescent="0.25">
      <c r="A53" s="73" t="s">
        <v>114</v>
      </c>
      <c r="B53" s="64"/>
      <c r="C53" s="44" t="s">
        <v>4</v>
      </c>
      <c r="D53" s="90">
        <v>10</v>
      </c>
      <c r="E53" s="90">
        <v>10.1</v>
      </c>
      <c r="F53" s="90">
        <v>1</v>
      </c>
      <c r="G53" s="90">
        <v>1</v>
      </c>
      <c r="H53" s="90">
        <v>5200</v>
      </c>
      <c r="I53" s="90">
        <v>5200</v>
      </c>
      <c r="J53" s="90">
        <v>10</v>
      </c>
      <c r="K53" s="90">
        <v>10.1</v>
      </c>
      <c r="L53" s="90">
        <v>1</v>
      </c>
    </row>
    <row r="54" spans="1:15" x14ac:dyDescent="0.25">
      <c r="A54" s="73" t="s">
        <v>115</v>
      </c>
      <c r="B54" s="64"/>
      <c r="C54" s="66" t="s">
        <v>120</v>
      </c>
      <c r="D54" s="91">
        <v>0.99</v>
      </c>
      <c r="E54" s="91">
        <v>1</v>
      </c>
      <c r="F54" s="91">
        <v>3.4</v>
      </c>
      <c r="G54" s="91">
        <v>2.6</v>
      </c>
      <c r="H54" s="91">
        <v>0.82</v>
      </c>
      <c r="I54" s="91">
        <v>0.82</v>
      </c>
      <c r="J54" s="91">
        <v>0.98</v>
      </c>
      <c r="K54" s="91">
        <v>1</v>
      </c>
      <c r="L54" s="91">
        <v>1</v>
      </c>
      <c r="N54" s="151" t="s">
        <v>119</v>
      </c>
    </row>
    <row r="55" spans="1:15" x14ac:dyDescent="0.25">
      <c r="A55" s="64" t="s">
        <v>116</v>
      </c>
      <c r="B55" s="64"/>
      <c r="C55" s="66" t="s">
        <v>58</v>
      </c>
      <c r="D55" s="90">
        <f>0.013*E20/D54</f>
        <v>189.09020000000001</v>
      </c>
      <c r="E55" s="90">
        <f>0.01*E20/E54</f>
        <v>143.99946</v>
      </c>
      <c r="F55" s="90">
        <v>0</v>
      </c>
      <c r="G55" s="90">
        <v>0</v>
      </c>
      <c r="H55" s="90">
        <f>0.015*E20/H54</f>
        <v>263.41364634146345</v>
      </c>
      <c r="I55" s="90">
        <f>0.015*E20/I54*(1-I56)+100</f>
        <v>310.73091707317076</v>
      </c>
      <c r="J55" s="90">
        <f>0.013*E20/J54*(1-J56)+100</f>
        <v>262.36673806122451</v>
      </c>
      <c r="K55" s="90">
        <f>0.01*E20/K54*(1-K56)+100</f>
        <v>222.399541</v>
      </c>
      <c r="L55" s="90"/>
      <c r="N55" s="151"/>
    </row>
    <row r="56" spans="1:15" x14ac:dyDescent="0.25">
      <c r="A56" s="64" t="s">
        <v>117</v>
      </c>
      <c r="B56" s="64"/>
      <c r="C56" s="66" t="s">
        <v>57</v>
      </c>
      <c r="D56" s="89">
        <v>0</v>
      </c>
      <c r="E56" s="89">
        <v>0</v>
      </c>
      <c r="F56" s="89">
        <v>0</v>
      </c>
      <c r="G56" s="89">
        <v>0</v>
      </c>
      <c r="H56" s="89">
        <v>0</v>
      </c>
      <c r="I56" s="89">
        <v>0.2</v>
      </c>
      <c r="J56" s="89">
        <v>0.15</v>
      </c>
      <c r="K56" s="89">
        <v>0.15</v>
      </c>
      <c r="L56" s="89">
        <v>0</v>
      </c>
    </row>
    <row r="57" spans="1:15" x14ac:dyDescent="0.25">
      <c r="A57" s="64" t="s">
        <v>118</v>
      </c>
      <c r="B57" s="64"/>
      <c r="C57" s="66" t="s">
        <v>2</v>
      </c>
      <c r="D57" s="56">
        <v>10</v>
      </c>
      <c r="E57" s="56">
        <v>2</v>
      </c>
      <c r="F57" s="56">
        <v>2</v>
      </c>
      <c r="G57" s="56">
        <v>6</v>
      </c>
      <c r="H57" s="56">
        <v>10</v>
      </c>
      <c r="I57" s="56">
        <v>10</v>
      </c>
      <c r="J57" s="56">
        <v>10</v>
      </c>
      <c r="K57" s="56">
        <v>3</v>
      </c>
      <c r="L57" s="56">
        <v>3</v>
      </c>
      <c r="N57" s="121"/>
    </row>
    <row r="58" spans="1:15" ht="12.75" customHeight="1" x14ac:dyDescent="0.25">
      <c r="D58" s="129"/>
      <c r="E58" s="129"/>
      <c r="F58" s="129"/>
      <c r="G58" s="129"/>
      <c r="H58" s="129"/>
      <c r="I58" s="129"/>
      <c r="J58" s="129"/>
      <c r="K58" s="129"/>
      <c r="L58" s="129"/>
      <c r="N58" s="151" t="s">
        <v>224</v>
      </c>
    </row>
    <row r="59" spans="1:15" ht="27" x14ac:dyDescent="0.3">
      <c r="A59" s="63" t="s">
        <v>121</v>
      </c>
      <c r="B59" s="61"/>
      <c r="C59" s="61"/>
      <c r="D59" s="138" t="str">
        <f>D16</f>
        <v>Citerne à mazout</v>
      </c>
      <c r="E59" s="138" t="str">
        <f t="shared" ref="E59:L59" si="14">E16</f>
        <v>Chaudière à gaz</v>
      </c>
      <c r="F59" s="138" t="str">
        <f t="shared" si="14"/>
        <v>PaC saline</v>
      </c>
      <c r="G59" s="138" t="str">
        <f t="shared" si="14"/>
        <v>PaC air</v>
      </c>
      <c r="H59" s="138" t="str">
        <f t="shared" si="14"/>
        <v>Granulés</v>
      </c>
      <c r="I59" s="138" t="str">
        <f t="shared" si="14"/>
        <v>Granulés / solaire</v>
      </c>
      <c r="J59" s="138" t="str">
        <f t="shared" si="14"/>
        <v>Mazout / solaire</v>
      </c>
      <c r="K59" s="138" t="str">
        <f t="shared" si="14"/>
        <v>Gaz / solaire</v>
      </c>
      <c r="L59" s="138" t="str">
        <f t="shared" si="14"/>
        <v>Chauffage à distance</v>
      </c>
      <c r="N59" s="151"/>
    </row>
    <row r="60" spans="1:15" s="71" customFormat="1" x14ac:dyDescent="0.25">
      <c r="A60" s="73"/>
      <c r="C60" s="48" t="s">
        <v>187</v>
      </c>
      <c r="D60" s="48" t="s">
        <v>5</v>
      </c>
      <c r="E60" s="48" t="s">
        <v>5</v>
      </c>
      <c r="F60" s="48" t="s">
        <v>5</v>
      </c>
      <c r="G60" s="48" t="s">
        <v>5</v>
      </c>
      <c r="H60" s="48" t="s">
        <v>5</v>
      </c>
      <c r="I60" s="48" t="s">
        <v>5</v>
      </c>
      <c r="J60" s="48" t="s">
        <v>5</v>
      </c>
      <c r="K60" s="65" t="s">
        <v>12</v>
      </c>
      <c r="L60" s="65" t="s">
        <v>12</v>
      </c>
      <c r="M60" s="58"/>
      <c r="N60" s="94"/>
      <c r="O60" s="58"/>
    </row>
    <row r="61" spans="1:15" s="71" customFormat="1" x14ac:dyDescent="0.25">
      <c r="A61" s="73" t="s">
        <v>122</v>
      </c>
      <c r="C61" s="56">
        <v>30</v>
      </c>
      <c r="D61" s="56">
        <v>3000</v>
      </c>
      <c r="E61" s="56"/>
      <c r="F61" s="56"/>
      <c r="G61" s="56"/>
      <c r="H61" s="56">
        <v>3000</v>
      </c>
      <c r="I61" s="56">
        <v>3000</v>
      </c>
      <c r="J61" s="56">
        <v>3000</v>
      </c>
      <c r="K61" s="56"/>
      <c r="L61" s="56"/>
      <c r="M61" s="58"/>
      <c r="N61" s="94"/>
      <c r="O61" s="58"/>
    </row>
    <row r="62" spans="1:15" s="71" customFormat="1" x14ac:dyDescent="0.25">
      <c r="A62" s="73" t="s">
        <v>235</v>
      </c>
      <c r="C62" s="56">
        <v>50</v>
      </c>
      <c r="D62" s="56"/>
      <c r="E62" s="56">
        <v>4500</v>
      </c>
      <c r="F62" s="56"/>
      <c r="G62" s="56"/>
      <c r="H62" s="56"/>
      <c r="I62" s="56"/>
      <c r="J62" s="56"/>
      <c r="K62" s="56">
        <v>4500</v>
      </c>
      <c r="L62" s="56"/>
      <c r="M62" s="58"/>
      <c r="O62" s="58"/>
    </row>
    <row r="63" spans="1:15" s="71" customFormat="1" x14ac:dyDescent="0.25">
      <c r="A63" s="73" t="s">
        <v>123</v>
      </c>
      <c r="C63" s="56">
        <v>25</v>
      </c>
      <c r="D63" s="56"/>
      <c r="E63" s="56"/>
      <c r="F63" s="56"/>
      <c r="G63" s="56"/>
      <c r="H63" s="56"/>
      <c r="I63" s="56"/>
      <c r="J63" s="56"/>
      <c r="K63" s="56"/>
      <c r="L63" s="56"/>
      <c r="M63" s="58"/>
      <c r="N63" s="94" t="s">
        <v>124</v>
      </c>
      <c r="O63" s="58"/>
    </row>
    <row r="64" spans="1:15" s="71" customFormat="1" x14ac:dyDescent="0.25">
      <c r="A64" s="73" t="s">
        <v>125</v>
      </c>
      <c r="C64" s="56">
        <v>18</v>
      </c>
      <c r="D64" s="56">
        <v>10000</v>
      </c>
      <c r="E64" s="56">
        <v>4500</v>
      </c>
      <c r="F64" s="56">
        <v>10000</v>
      </c>
      <c r="G64" s="56">
        <v>12000</v>
      </c>
      <c r="H64" s="56">
        <v>13000</v>
      </c>
      <c r="I64" s="56">
        <v>13000</v>
      </c>
      <c r="J64" s="56">
        <v>10000</v>
      </c>
      <c r="K64" s="56">
        <v>4500</v>
      </c>
      <c r="L64" s="56"/>
      <c r="M64" s="58"/>
      <c r="N64" s="94"/>
      <c r="O64" s="58"/>
    </row>
    <row r="65" spans="1:15" s="71" customFormat="1" x14ac:dyDescent="0.25">
      <c r="A65" s="73" t="s">
        <v>126</v>
      </c>
      <c r="C65" s="56">
        <v>30</v>
      </c>
      <c r="D65" s="56">
        <v>2500</v>
      </c>
      <c r="E65" s="56">
        <v>2000</v>
      </c>
      <c r="F65" s="56"/>
      <c r="G65" s="56"/>
      <c r="H65" s="56">
        <v>2500</v>
      </c>
      <c r="I65" s="56">
        <v>2500</v>
      </c>
      <c r="J65" s="56">
        <v>2500</v>
      </c>
      <c r="K65" s="56">
        <v>2000</v>
      </c>
      <c r="L65" s="56"/>
      <c r="M65" s="58"/>
      <c r="N65" s="94"/>
      <c r="O65" s="58"/>
    </row>
    <row r="66" spans="1:15" s="71" customFormat="1" x14ac:dyDescent="0.25">
      <c r="A66" s="73" t="s">
        <v>127</v>
      </c>
      <c r="C66" s="56">
        <v>18</v>
      </c>
      <c r="D66" s="56">
        <v>500</v>
      </c>
      <c r="E66" s="56">
        <v>500</v>
      </c>
      <c r="F66" s="56">
        <v>500</v>
      </c>
      <c r="G66" s="56">
        <v>500</v>
      </c>
      <c r="H66" s="56">
        <v>500</v>
      </c>
      <c r="I66" s="56">
        <v>500</v>
      </c>
      <c r="J66" s="56">
        <v>500</v>
      </c>
      <c r="K66" s="56">
        <v>500</v>
      </c>
      <c r="L66" s="56"/>
      <c r="M66" s="58"/>
      <c r="N66" s="94"/>
      <c r="O66" s="58"/>
    </row>
    <row r="67" spans="1:15" s="71" customFormat="1" x14ac:dyDescent="0.25">
      <c r="A67" s="73" t="s">
        <v>128</v>
      </c>
      <c r="C67" s="56">
        <v>20</v>
      </c>
      <c r="D67" s="56">
        <v>2000</v>
      </c>
      <c r="E67" s="56">
        <v>2000</v>
      </c>
      <c r="F67" s="56">
        <v>2500</v>
      </c>
      <c r="G67" s="56">
        <v>2500</v>
      </c>
      <c r="H67" s="56">
        <v>2000</v>
      </c>
      <c r="I67" s="56">
        <v>2500</v>
      </c>
      <c r="J67" s="56">
        <v>2500</v>
      </c>
      <c r="K67" s="56">
        <v>2500</v>
      </c>
      <c r="L67" s="56"/>
      <c r="M67" s="58"/>
      <c r="N67" s="94"/>
      <c r="O67" s="58"/>
    </row>
    <row r="68" spans="1:15" s="71" customFormat="1" x14ac:dyDescent="0.25">
      <c r="A68" s="73" t="s">
        <v>129</v>
      </c>
      <c r="C68" s="56">
        <v>30</v>
      </c>
      <c r="D68" s="56"/>
      <c r="E68" s="56"/>
      <c r="F68" s="56">
        <v>10000</v>
      </c>
      <c r="G68" s="56">
        <v>1800</v>
      </c>
      <c r="H68" s="56"/>
      <c r="I68" s="56"/>
      <c r="J68" s="56"/>
      <c r="K68" s="56"/>
      <c r="L68" s="56"/>
      <c r="M68" s="58"/>
      <c r="N68" s="94"/>
    </row>
    <row r="69" spans="1:15" s="71" customFormat="1" x14ac:dyDescent="0.25">
      <c r="A69" s="73" t="s">
        <v>130</v>
      </c>
      <c r="C69" s="56">
        <v>30</v>
      </c>
      <c r="D69" s="56">
        <v>2000</v>
      </c>
      <c r="E69" s="56">
        <v>2000</v>
      </c>
      <c r="F69" s="56">
        <v>2000</v>
      </c>
      <c r="G69" s="56">
        <v>2000</v>
      </c>
      <c r="H69" s="56">
        <v>2000</v>
      </c>
      <c r="I69" s="56">
        <v>2000</v>
      </c>
      <c r="J69" s="56">
        <v>2000</v>
      </c>
      <c r="K69" s="56">
        <v>2000</v>
      </c>
      <c r="L69" s="56"/>
      <c r="M69" s="58"/>
      <c r="N69" s="94"/>
    </row>
    <row r="70" spans="1:15" s="71" customFormat="1" x14ac:dyDescent="0.25">
      <c r="A70" s="73" t="s">
        <v>131</v>
      </c>
      <c r="C70" s="56">
        <v>30</v>
      </c>
      <c r="D70" s="56">
        <v>1000</v>
      </c>
      <c r="E70" s="56">
        <v>1000</v>
      </c>
      <c r="F70" s="56">
        <v>1000</v>
      </c>
      <c r="G70" s="56">
        <v>1000</v>
      </c>
      <c r="H70" s="56">
        <v>1000</v>
      </c>
      <c r="I70" s="56">
        <v>1000</v>
      </c>
      <c r="J70" s="56">
        <v>1000</v>
      </c>
      <c r="K70" s="56">
        <v>1000</v>
      </c>
      <c r="L70" s="56"/>
      <c r="M70" s="58"/>
      <c r="N70" s="94"/>
    </row>
    <row r="71" spans="1:15" s="71" customFormat="1" x14ac:dyDescent="0.25">
      <c r="A71" s="73" t="s">
        <v>132</v>
      </c>
      <c r="C71" s="56">
        <v>20</v>
      </c>
      <c r="D71" s="56">
        <v>1500</v>
      </c>
      <c r="E71" s="56">
        <v>1500</v>
      </c>
      <c r="F71" s="56">
        <v>1500</v>
      </c>
      <c r="G71" s="56">
        <v>1500</v>
      </c>
      <c r="H71" s="56">
        <v>1500</v>
      </c>
      <c r="I71" s="56">
        <v>1800</v>
      </c>
      <c r="J71" s="56">
        <v>1800</v>
      </c>
      <c r="K71" s="56">
        <v>1800</v>
      </c>
      <c r="L71" s="56"/>
      <c r="M71" s="58"/>
      <c r="N71" s="94"/>
    </row>
    <row r="72" spans="1:15" s="71" customFormat="1" x14ac:dyDescent="0.25">
      <c r="A72" s="73" t="s">
        <v>133</v>
      </c>
      <c r="C72" s="56">
        <v>25</v>
      </c>
      <c r="D72" s="56">
        <v>1500</v>
      </c>
      <c r="E72" s="56">
        <v>1500</v>
      </c>
      <c r="F72" s="56">
        <v>1500</v>
      </c>
      <c r="G72" s="56">
        <v>1500</v>
      </c>
      <c r="H72" s="56">
        <v>1500</v>
      </c>
      <c r="I72" s="56">
        <v>2000</v>
      </c>
      <c r="J72" s="56">
        <v>2000</v>
      </c>
      <c r="K72" s="56">
        <v>2000</v>
      </c>
      <c r="L72" s="56"/>
      <c r="M72" s="58"/>
      <c r="N72" s="94"/>
    </row>
    <row r="73" spans="1:15" s="71" customFormat="1" x14ac:dyDescent="0.25">
      <c r="A73" s="73" t="s">
        <v>134</v>
      </c>
      <c r="C73" s="56">
        <v>18</v>
      </c>
      <c r="D73" s="56">
        <v>1500</v>
      </c>
      <c r="E73" s="56">
        <v>1500</v>
      </c>
      <c r="F73" s="56">
        <v>2000</v>
      </c>
      <c r="G73" s="56">
        <v>2000</v>
      </c>
      <c r="H73" s="56">
        <v>1500</v>
      </c>
      <c r="I73" s="56">
        <v>2000</v>
      </c>
      <c r="J73" s="56">
        <v>2000</v>
      </c>
      <c r="K73" s="56">
        <v>2000</v>
      </c>
      <c r="L73" s="56"/>
      <c r="M73" s="58"/>
      <c r="N73" s="120" t="s">
        <v>65</v>
      </c>
    </row>
    <row r="74" spans="1:15" s="71" customFormat="1" x14ac:dyDescent="0.25">
      <c r="A74" s="73" t="s">
        <v>135</v>
      </c>
      <c r="C74" s="56">
        <v>20</v>
      </c>
      <c r="D74" s="56">
        <v>1000</v>
      </c>
      <c r="E74" s="56">
        <v>1500</v>
      </c>
      <c r="F74" s="56">
        <v>3000</v>
      </c>
      <c r="G74" s="56">
        <v>2500</v>
      </c>
      <c r="H74" s="56">
        <v>1000</v>
      </c>
      <c r="I74" s="56">
        <v>1000</v>
      </c>
      <c r="J74" s="56">
        <v>1000</v>
      </c>
      <c r="K74" s="56">
        <v>1500</v>
      </c>
      <c r="L74" s="56"/>
      <c r="M74" s="58"/>
      <c r="N74" s="94" t="s">
        <v>139</v>
      </c>
    </row>
    <row r="75" spans="1:15" s="71" customFormat="1" x14ac:dyDescent="0.25">
      <c r="A75" s="73" t="s">
        <v>136</v>
      </c>
      <c r="C75" s="56">
        <v>20</v>
      </c>
      <c r="D75" s="56">
        <v>2500</v>
      </c>
      <c r="E75" s="56">
        <v>2500</v>
      </c>
      <c r="F75" s="56">
        <v>2500</v>
      </c>
      <c r="G75" s="56">
        <v>2500</v>
      </c>
      <c r="H75" s="56">
        <v>2500</v>
      </c>
      <c r="I75" s="56">
        <v>3000</v>
      </c>
      <c r="J75" s="56">
        <v>3000</v>
      </c>
      <c r="K75" s="56">
        <v>3000</v>
      </c>
      <c r="L75" s="56"/>
      <c r="M75" s="58"/>
      <c r="N75" s="151" t="s">
        <v>140</v>
      </c>
    </row>
    <row r="76" spans="1:15" s="71" customFormat="1" x14ac:dyDescent="0.25">
      <c r="A76" s="73" t="s">
        <v>137</v>
      </c>
      <c r="C76" s="56">
        <v>20</v>
      </c>
      <c r="D76" s="56"/>
      <c r="E76" s="56"/>
      <c r="F76" s="56"/>
      <c r="G76" s="56"/>
      <c r="H76" s="56"/>
      <c r="I76" s="57">
        <v>6000</v>
      </c>
      <c r="J76" s="56">
        <v>5000</v>
      </c>
      <c r="K76" s="56">
        <v>5000</v>
      </c>
      <c r="L76" s="56"/>
      <c r="M76" s="58"/>
      <c r="N76" s="151"/>
    </row>
    <row r="77" spans="1:15" s="71" customFormat="1" x14ac:dyDescent="0.25">
      <c r="A77" s="73" t="s">
        <v>138</v>
      </c>
      <c r="C77" s="58"/>
      <c r="D77" s="56"/>
      <c r="E77" s="56"/>
      <c r="F77" s="56"/>
      <c r="G77" s="56"/>
      <c r="H77" s="56"/>
      <c r="I77" s="56"/>
      <c r="J77" s="56"/>
      <c r="K77" s="56"/>
      <c r="L77" s="56"/>
      <c r="M77" s="58"/>
      <c r="N77" s="151" t="s">
        <v>141</v>
      </c>
    </row>
    <row r="78" spans="1:15" s="71" customFormat="1" x14ac:dyDescent="0.25">
      <c r="A78" s="73"/>
      <c r="C78" s="58"/>
      <c r="D78" s="58"/>
      <c r="E78" s="58"/>
      <c r="F78" s="58"/>
      <c r="G78" s="58"/>
      <c r="H78" s="58"/>
      <c r="I78" s="58"/>
      <c r="J78" s="58"/>
      <c r="K78" s="58"/>
      <c r="L78" s="58"/>
      <c r="M78" s="58"/>
      <c r="N78" s="151"/>
    </row>
    <row r="79" spans="1:15" x14ac:dyDescent="0.25">
      <c r="A79" s="73" t="s">
        <v>142</v>
      </c>
      <c r="D79" s="98">
        <f t="shared" ref="D79:L79" si="15">SUM(D61:D76)-D77</f>
        <v>29000</v>
      </c>
      <c r="E79" s="98">
        <f t="shared" si="15"/>
        <v>25000</v>
      </c>
      <c r="F79" s="98">
        <f t="shared" si="15"/>
        <v>36500</v>
      </c>
      <c r="G79" s="98">
        <f t="shared" si="15"/>
        <v>29800</v>
      </c>
      <c r="H79" s="98">
        <f t="shared" si="15"/>
        <v>32000</v>
      </c>
      <c r="I79" s="98">
        <f t="shared" si="15"/>
        <v>40300</v>
      </c>
      <c r="J79" s="98">
        <f t="shared" si="15"/>
        <v>36300</v>
      </c>
      <c r="K79" s="98">
        <f t="shared" si="15"/>
        <v>32300</v>
      </c>
      <c r="L79" s="98">
        <f t="shared" si="15"/>
        <v>0</v>
      </c>
      <c r="N79" s="151"/>
    </row>
    <row r="80" spans="1:15" s="71" customFormat="1" x14ac:dyDescent="0.25">
      <c r="A80" s="73" t="s">
        <v>143</v>
      </c>
      <c r="D80" s="99">
        <f t="shared" ref="D80:K80" si="16">(D$61*$C$61+D$62*$C$62+D$64*$C$64+D$65*$C$65+D$66*$C$66+D$67*$C$67+D$68*$C$68+D$69*$C$69+D$70*$C$70+D$71*$C$71+D$72*$C$72+D$73*$C$73+D$74*$C$74+D$75*$C$75+D$76*$C$76)/(D$79+D77)</f>
        <v>22.362068965517242</v>
      </c>
      <c r="E80" s="99">
        <f t="shared" si="16"/>
        <v>27.18</v>
      </c>
      <c r="F80" s="99">
        <f t="shared" si="16"/>
        <v>23.082191780821919</v>
      </c>
      <c r="G80" s="99">
        <f t="shared" si="16"/>
        <v>20.889261744966444</v>
      </c>
      <c r="H80" s="99">
        <f t="shared" si="16"/>
        <v>21.953125</v>
      </c>
      <c r="I80" s="99">
        <f t="shared" si="16"/>
        <v>21.588089330024815</v>
      </c>
      <c r="J80" s="99">
        <f t="shared" si="16"/>
        <v>21.928374655647382</v>
      </c>
      <c r="K80" s="99">
        <f t="shared" si="16"/>
        <v>25.603715170278637</v>
      </c>
      <c r="L80" s="99">
        <f>IF(ISERROR((L$61*$C$61+L$62*$C$62+L$64*$C$64+L$65*$C$65+L$66*$C$66+L$67*$C$67+L$68*$C$68+L$69*$C$69+L$70*$C$70+L$71*$C$71+L$72*$C$72+L$73*$C$73+L$74*$C$74+L$75*$C$75+L$76*$C$76)/(L$79+L77)),0,((L$61*$C$61+L$62*$C$62+L$64*$C$64+L$65*$C$65+L$66*$C$66+L$67*$C$67+L$68*$C$68+L$69*$C$69+L$70*$C$70+L$71*$C$71+L$72*$C$72+L$73*$C$73+L$74*$C$74+L$75*$C$75+L$76*$C$76)/(L$79+L77)))</f>
        <v>0</v>
      </c>
      <c r="M80" s="58"/>
      <c r="N80" s="130"/>
    </row>
    <row r="81" spans="1:14" s="71" customFormat="1" x14ac:dyDescent="0.25">
      <c r="A81" s="73" t="s">
        <v>144</v>
      </c>
      <c r="B81" s="117">
        <v>2</v>
      </c>
      <c r="C81" s="71" t="s">
        <v>6</v>
      </c>
      <c r="D81" s="100">
        <f>$B$81/100*POWER(1+$B$81/100,D80)/(POWER(1+$B$81/100,D80)-1)*100</f>
        <v>5.5899936521803557</v>
      </c>
      <c r="E81" s="100">
        <f t="shared" ref="E81:K81" si="17">$B$81/100*POWER(1+$B$81/100,E80)/(POWER(1+$B$81/100,E80)-1)*100</f>
        <v>4.8051219367723377</v>
      </c>
      <c r="F81" s="100">
        <f t="shared" si="17"/>
        <v>5.451442047859997</v>
      </c>
      <c r="G81" s="100">
        <f t="shared" si="17"/>
        <v>5.9036099695577553</v>
      </c>
      <c r="H81" s="100">
        <f t="shared" si="17"/>
        <v>5.6727891313480336</v>
      </c>
      <c r="I81" s="100">
        <f t="shared" si="17"/>
        <v>5.7493869292710258</v>
      </c>
      <c r="J81" s="100">
        <f t="shared" si="17"/>
        <v>5.6779008188205715</v>
      </c>
      <c r="K81" s="100">
        <f t="shared" si="17"/>
        <v>5.0287547384584279</v>
      </c>
      <c r="L81" s="100">
        <f>IF(ISERROR($B$81/100*POWER(1+$B$81/100,L80)/(POWER(1+$B$81/100,L80)-1)*100),0,$B$81/100*POWER(1+$B$81/100,L80)/(POWER(1+$B$81/100,L80)-1)*100)</f>
        <v>0</v>
      </c>
      <c r="M81" s="58"/>
      <c r="N81" s="131"/>
    </row>
    <row r="82" spans="1:14" s="72" customFormat="1" x14ac:dyDescent="0.25">
      <c r="A82" s="72" t="s">
        <v>145</v>
      </c>
      <c r="B82" s="49"/>
      <c r="C82" s="49" t="s">
        <v>7</v>
      </c>
      <c r="D82" s="101">
        <f>D79*D81/100</f>
        <v>1621.0981591323032</v>
      </c>
      <c r="E82" s="101">
        <f t="shared" ref="E82:L82" si="18">E79*E81/100</f>
        <v>1201.2804841930845</v>
      </c>
      <c r="F82" s="101">
        <f t="shared" si="18"/>
        <v>1989.7763474688991</v>
      </c>
      <c r="G82" s="101">
        <f t="shared" si="18"/>
        <v>1759.2757709282109</v>
      </c>
      <c r="H82" s="101">
        <f t="shared" si="18"/>
        <v>1815.2925220313709</v>
      </c>
      <c r="I82" s="101">
        <f t="shared" si="18"/>
        <v>2317.0029324962234</v>
      </c>
      <c r="J82" s="101">
        <f t="shared" si="18"/>
        <v>2061.0779972318674</v>
      </c>
      <c r="K82" s="101">
        <f t="shared" si="18"/>
        <v>1624.2877805220724</v>
      </c>
      <c r="L82" s="101">
        <f t="shared" si="18"/>
        <v>0</v>
      </c>
      <c r="M82" s="64"/>
      <c r="N82" s="132"/>
    </row>
    <row r="83" spans="1:14" s="62" customFormat="1" x14ac:dyDescent="0.25">
      <c r="A83" s="72"/>
      <c r="B83" s="49"/>
      <c r="C83" s="49"/>
      <c r="D83" s="50"/>
      <c r="E83" s="50"/>
      <c r="F83" s="50"/>
      <c r="G83" s="50"/>
      <c r="H83" s="50"/>
      <c r="I83" s="50"/>
      <c r="J83" s="50"/>
      <c r="K83" s="50"/>
      <c r="L83" s="50"/>
      <c r="M83" s="58"/>
      <c r="N83" s="94"/>
    </row>
    <row r="84" spans="1:14" ht="27" x14ac:dyDescent="0.3">
      <c r="A84" s="63" t="s">
        <v>97</v>
      </c>
      <c r="B84" s="51"/>
      <c r="D84" s="138" t="str">
        <f>D16</f>
        <v>Citerne à mazout</v>
      </c>
      <c r="E84" s="138" t="str">
        <f t="shared" ref="E84:L84" si="19">E16</f>
        <v>Chaudière à gaz</v>
      </c>
      <c r="F84" s="138" t="str">
        <f t="shared" si="19"/>
        <v>PaC saline</v>
      </c>
      <c r="G84" s="138" t="str">
        <f t="shared" si="19"/>
        <v>PaC air</v>
      </c>
      <c r="H84" s="138" t="str">
        <f t="shared" si="19"/>
        <v>Granulés</v>
      </c>
      <c r="I84" s="138" t="str">
        <f t="shared" si="19"/>
        <v>Granulés / solaire</v>
      </c>
      <c r="J84" s="138" t="str">
        <f t="shared" si="19"/>
        <v>Mazout / solaire</v>
      </c>
      <c r="K84" s="138" t="str">
        <f t="shared" si="19"/>
        <v>Gaz / solaire</v>
      </c>
      <c r="L84" s="138" t="str">
        <f t="shared" si="19"/>
        <v>Chauffage à distance</v>
      </c>
    </row>
    <row r="85" spans="1:14" ht="15.6" x14ac:dyDescent="0.3">
      <c r="A85" s="63"/>
      <c r="B85" s="51"/>
      <c r="C85" s="93" t="s">
        <v>146</v>
      </c>
      <c r="D85" s="141">
        <f t="shared" ref="D85:L85" si="20">D54</f>
        <v>0.99</v>
      </c>
      <c r="E85" s="141">
        <f t="shared" si="20"/>
        <v>1</v>
      </c>
      <c r="F85" s="141">
        <f t="shared" si="20"/>
        <v>3.4</v>
      </c>
      <c r="G85" s="141">
        <f t="shared" si="20"/>
        <v>2.6</v>
      </c>
      <c r="H85" s="141">
        <f t="shared" si="20"/>
        <v>0.82</v>
      </c>
      <c r="I85" s="141">
        <f t="shared" si="20"/>
        <v>0.82</v>
      </c>
      <c r="J85" s="141">
        <f t="shared" si="20"/>
        <v>0.98</v>
      </c>
      <c r="K85" s="141">
        <f t="shared" si="20"/>
        <v>1</v>
      </c>
      <c r="L85" s="141">
        <f t="shared" si="20"/>
        <v>1</v>
      </c>
    </row>
    <row r="86" spans="1:14" x14ac:dyDescent="0.25">
      <c r="A86" s="64" t="s">
        <v>147</v>
      </c>
      <c r="B86" s="51"/>
      <c r="C86" s="51" t="s">
        <v>1</v>
      </c>
      <c r="D86" s="102">
        <f t="shared" ref="D86:L86" si="21">D52*D53</f>
        <v>14545.4</v>
      </c>
      <c r="E86" s="102">
        <f t="shared" si="21"/>
        <v>14399.946</v>
      </c>
      <c r="F86" s="102">
        <f t="shared" si="21"/>
        <v>4235.2782352941176</v>
      </c>
      <c r="G86" s="102">
        <f t="shared" si="21"/>
        <v>5538.4407692307686</v>
      </c>
      <c r="H86" s="102">
        <f t="shared" si="21"/>
        <v>17560.909756097561</v>
      </c>
      <c r="I86" s="102">
        <f t="shared" si="21"/>
        <v>14048.72780487805</v>
      </c>
      <c r="J86" s="102">
        <f t="shared" si="21"/>
        <v>12489.749081632654</v>
      </c>
      <c r="K86" s="102">
        <f t="shared" si="21"/>
        <v>12239.954100000001</v>
      </c>
      <c r="L86" s="102">
        <f t="shared" si="21"/>
        <v>14399.946</v>
      </c>
    </row>
    <row r="87" spans="1:14" x14ac:dyDescent="0.25">
      <c r="A87" s="148" t="s">
        <v>97</v>
      </c>
      <c r="B87" s="51"/>
      <c r="D87" s="102"/>
      <c r="E87" s="102"/>
      <c r="F87" s="102"/>
      <c r="G87" s="102"/>
      <c r="H87" s="102"/>
      <c r="I87" s="102"/>
      <c r="J87" s="102"/>
      <c r="K87" s="102"/>
      <c r="L87" s="102"/>
      <c r="N87" s="149" t="s">
        <v>231</v>
      </c>
    </row>
    <row r="88" spans="1:14" x14ac:dyDescent="0.25">
      <c r="A88" s="73" t="s">
        <v>148</v>
      </c>
      <c r="B88" s="119">
        <v>90</v>
      </c>
      <c r="C88" s="61" t="s">
        <v>152</v>
      </c>
      <c r="D88" s="103">
        <f>D52*B88/100</f>
        <v>1309.086</v>
      </c>
      <c r="E88" s="103"/>
      <c r="F88" s="103"/>
      <c r="G88" s="103"/>
      <c r="H88" s="103"/>
      <c r="I88" s="103"/>
      <c r="J88" s="103">
        <f>J52*B88/100</f>
        <v>1124.0774173469388</v>
      </c>
      <c r="K88" s="103"/>
      <c r="L88" s="103"/>
    </row>
    <row r="89" spans="1:14" x14ac:dyDescent="0.25">
      <c r="A89" s="64" t="s">
        <v>149</v>
      </c>
      <c r="B89" s="118">
        <v>300</v>
      </c>
      <c r="C89" s="58" t="s">
        <v>8</v>
      </c>
      <c r="D89" s="103"/>
      <c r="E89" s="103">
        <f>B89</f>
        <v>300</v>
      </c>
      <c r="F89" s="103"/>
      <c r="G89" s="103"/>
      <c r="H89" s="103"/>
      <c r="I89" s="103"/>
      <c r="J89" s="103"/>
      <c r="K89" s="103">
        <f>B89</f>
        <v>300</v>
      </c>
      <c r="L89" s="103"/>
    </row>
    <row r="90" spans="1:14" x14ac:dyDescent="0.25">
      <c r="A90" s="64" t="s">
        <v>150</v>
      </c>
      <c r="B90" s="118">
        <v>7.1</v>
      </c>
      <c r="C90" s="61" t="s">
        <v>184</v>
      </c>
      <c r="D90" s="103"/>
      <c r="E90" s="103">
        <f>E52*B90/10</f>
        <v>1012.2734316831684</v>
      </c>
      <c r="F90" s="103"/>
      <c r="G90" s="103"/>
      <c r="H90" s="103"/>
      <c r="I90" s="103"/>
      <c r="J90" s="103"/>
      <c r="K90" s="103">
        <f>K52*B90/10</f>
        <v>860.43241693069308</v>
      </c>
      <c r="L90" s="103"/>
      <c r="N90" s="94" t="s">
        <v>159</v>
      </c>
    </row>
    <row r="91" spans="1:14" x14ac:dyDescent="0.25">
      <c r="A91" s="73" t="s">
        <v>151</v>
      </c>
      <c r="B91" s="119">
        <v>21</v>
      </c>
      <c r="C91" s="61" t="s">
        <v>184</v>
      </c>
      <c r="D91" s="103">
        <f>D55*$B91/100</f>
        <v>39.708942</v>
      </c>
      <c r="E91" s="103">
        <f t="shared" ref="E91:L91" si="22">E55*$B91/100</f>
        <v>30.239886599999998</v>
      </c>
      <c r="F91" s="103">
        <f t="shared" si="22"/>
        <v>0</v>
      </c>
      <c r="G91" s="103">
        <f t="shared" si="22"/>
        <v>0</v>
      </c>
      <c r="H91" s="103">
        <f t="shared" si="22"/>
        <v>55.316865731707324</v>
      </c>
      <c r="I91" s="103">
        <f t="shared" si="22"/>
        <v>65.253492585365862</v>
      </c>
      <c r="J91" s="103">
        <f t="shared" si="22"/>
        <v>55.097014992857147</v>
      </c>
      <c r="K91" s="103">
        <f t="shared" si="22"/>
        <v>46.703903609999998</v>
      </c>
      <c r="L91" s="103">
        <f t="shared" si="22"/>
        <v>0</v>
      </c>
      <c r="N91" s="137" t="s">
        <v>160</v>
      </c>
    </row>
    <row r="92" spans="1:14" x14ac:dyDescent="0.25">
      <c r="A92" s="73" t="s">
        <v>153</v>
      </c>
      <c r="B92" s="119">
        <v>16</v>
      </c>
      <c r="C92" s="61" t="s">
        <v>184</v>
      </c>
      <c r="D92" s="103"/>
      <c r="E92" s="103"/>
      <c r="F92" s="103">
        <f>F52*B92*0.67/100</f>
        <v>454.02182682352941</v>
      </c>
      <c r="G92" s="103">
        <f>G52*B92*0.67/100</f>
        <v>593.72085046153848</v>
      </c>
      <c r="H92" s="103"/>
      <c r="I92" s="103"/>
      <c r="J92" s="103"/>
      <c r="K92" s="103"/>
      <c r="L92" s="103"/>
      <c r="N92" s="151" t="s">
        <v>161</v>
      </c>
    </row>
    <row r="93" spans="1:14" x14ac:dyDescent="0.25">
      <c r="A93" s="73" t="s">
        <v>154</v>
      </c>
      <c r="B93" s="119">
        <v>11</v>
      </c>
      <c r="C93" s="61" t="s">
        <v>184</v>
      </c>
      <c r="D93" s="103"/>
      <c r="E93" s="103"/>
      <c r="F93" s="103">
        <f>F52*B93*0.33/100</f>
        <v>153.7405999411765</v>
      </c>
      <c r="G93" s="103">
        <f>G52*B93*0.33/100</f>
        <v>201.0453999230769</v>
      </c>
      <c r="H93" s="103"/>
      <c r="I93" s="103"/>
      <c r="J93" s="103"/>
      <c r="K93" s="103"/>
      <c r="L93" s="103"/>
      <c r="N93" s="151"/>
    </row>
    <row r="94" spans="1:14" x14ac:dyDescent="0.25">
      <c r="A94" s="73" t="s">
        <v>155</v>
      </c>
      <c r="B94" s="119">
        <v>135</v>
      </c>
      <c r="C94" s="58" t="s">
        <v>8</v>
      </c>
      <c r="D94" s="103"/>
      <c r="E94" s="103"/>
      <c r="F94" s="103">
        <f>B94</f>
        <v>135</v>
      </c>
      <c r="G94" s="103">
        <f>B94</f>
        <v>135</v>
      </c>
      <c r="H94" s="103"/>
      <c r="I94" s="103"/>
      <c r="J94" s="103"/>
      <c r="K94" s="103"/>
      <c r="L94" s="103"/>
      <c r="N94" s="133" t="s">
        <v>162</v>
      </c>
    </row>
    <row r="95" spans="1:14" x14ac:dyDescent="0.25">
      <c r="A95" s="64" t="s">
        <v>156</v>
      </c>
      <c r="B95" s="119">
        <v>400</v>
      </c>
      <c r="C95" s="58" t="s">
        <v>10</v>
      </c>
      <c r="D95" s="103"/>
      <c r="E95" s="103"/>
      <c r="F95" s="103"/>
      <c r="G95" s="103"/>
      <c r="H95" s="103">
        <f>H52*B95</f>
        <v>1350.8392120075048</v>
      </c>
      <c r="I95" s="103">
        <f>I52*B95</f>
        <v>1080.6713696060037</v>
      </c>
      <c r="J95" s="103"/>
      <c r="K95" s="103"/>
      <c r="L95" s="103"/>
    </row>
    <row r="96" spans="1:14" x14ac:dyDescent="0.25">
      <c r="A96" s="73" t="s">
        <v>157</v>
      </c>
      <c r="B96" s="119"/>
      <c r="C96" s="75" t="s">
        <v>8</v>
      </c>
      <c r="D96" s="103"/>
      <c r="E96" s="103"/>
      <c r="F96" s="103"/>
      <c r="G96" s="103"/>
      <c r="H96" s="103"/>
      <c r="I96" s="103"/>
      <c r="J96" s="103"/>
      <c r="K96" s="103"/>
      <c r="L96" s="103">
        <f>B96</f>
        <v>0</v>
      </c>
      <c r="N96" s="137" t="s">
        <v>163</v>
      </c>
    </row>
    <row r="97" spans="1:14" x14ac:dyDescent="0.25">
      <c r="A97" s="73" t="s">
        <v>84</v>
      </c>
      <c r="B97" s="119"/>
      <c r="C97" s="61" t="s">
        <v>184</v>
      </c>
      <c r="D97" s="103"/>
      <c r="E97" s="103"/>
      <c r="F97" s="103"/>
      <c r="G97" s="103"/>
      <c r="H97" s="103"/>
      <c r="I97" s="103"/>
      <c r="J97" s="103"/>
      <c r="K97" s="103"/>
      <c r="L97" s="103">
        <f>B97*L52/100</f>
        <v>0</v>
      </c>
      <c r="N97" s="134"/>
    </row>
    <row r="98" spans="1:14" s="72" customFormat="1" x14ac:dyDescent="0.25">
      <c r="A98" s="72" t="s">
        <v>158</v>
      </c>
      <c r="C98" s="49" t="s">
        <v>7</v>
      </c>
      <c r="D98" s="67">
        <f t="shared" ref="D98:K98" si="23">SUM(D88:D97)</f>
        <v>1348.794942</v>
      </c>
      <c r="E98" s="67">
        <f t="shared" si="23"/>
        <v>1342.5133182831685</v>
      </c>
      <c r="F98" s="67">
        <f t="shared" si="23"/>
        <v>742.76242676470588</v>
      </c>
      <c r="G98" s="67">
        <f t="shared" si="23"/>
        <v>929.76625038461543</v>
      </c>
      <c r="H98" s="67">
        <f t="shared" si="23"/>
        <v>1406.1560777392122</v>
      </c>
      <c r="I98" s="67">
        <f t="shared" si="23"/>
        <v>1145.9248621913696</v>
      </c>
      <c r="J98" s="67">
        <f t="shared" si="23"/>
        <v>1179.1744323397959</v>
      </c>
      <c r="K98" s="67">
        <f t="shared" si="23"/>
        <v>1207.1363205406931</v>
      </c>
      <c r="L98" s="67">
        <f>SUM(L88:L97)</f>
        <v>0</v>
      </c>
      <c r="M98" s="64"/>
      <c r="N98" s="94"/>
    </row>
    <row r="99" spans="1:14" ht="14.25" customHeight="1" x14ac:dyDescent="0.25">
      <c r="D99" s="46"/>
      <c r="E99" s="46"/>
      <c r="F99" s="46"/>
      <c r="G99" s="46"/>
      <c r="H99" s="46"/>
      <c r="I99" s="46"/>
      <c r="J99" s="46"/>
      <c r="K99" s="46"/>
      <c r="L99" s="46"/>
    </row>
    <row r="100" spans="1:14" ht="27" x14ac:dyDescent="0.3">
      <c r="A100" s="63" t="s">
        <v>98</v>
      </c>
      <c r="D100" s="138" t="str">
        <f>D16</f>
        <v>Citerne à mazout</v>
      </c>
      <c r="E100" s="138" t="str">
        <f t="shared" ref="E100:L100" si="24">E16</f>
        <v>Chaudière à gaz</v>
      </c>
      <c r="F100" s="138" t="str">
        <f t="shared" si="24"/>
        <v>PaC saline</v>
      </c>
      <c r="G100" s="138" t="str">
        <f t="shared" si="24"/>
        <v>PaC air</v>
      </c>
      <c r="H100" s="138" t="str">
        <f t="shared" si="24"/>
        <v>Granulés</v>
      </c>
      <c r="I100" s="138" t="str">
        <f t="shared" si="24"/>
        <v>Granulés / solaire</v>
      </c>
      <c r="J100" s="138" t="str">
        <f t="shared" si="24"/>
        <v>Mazout / solaire</v>
      </c>
      <c r="K100" s="138" t="str">
        <f t="shared" si="24"/>
        <v>Gaz / solaire</v>
      </c>
      <c r="L100" s="138" t="str">
        <f t="shared" si="24"/>
        <v>Chauffage à distance</v>
      </c>
    </row>
    <row r="101" spans="1:14" x14ac:dyDescent="0.25">
      <c r="A101" s="64" t="s">
        <v>164</v>
      </c>
      <c r="D101" s="104">
        <v>400</v>
      </c>
      <c r="E101" s="104">
        <v>300</v>
      </c>
      <c r="F101" s="104">
        <v>100</v>
      </c>
      <c r="G101" s="104">
        <v>200</v>
      </c>
      <c r="H101" s="104">
        <v>500</v>
      </c>
      <c r="I101" s="104">
        <v>500</v>
      </c>
      <c r="J101" s="104">
        <v>400</v>
      </c>
      <c r="K101" s="104">
        <v>300</v>
      </c>
      <c r="L101" s="104"/>
    </row>
    <row r="102" spans="1:14" x14ac:dyDescent="0.25">
      <c r="A102" s="64" t="s">
        <v>165</v>
      </c>
      <c r="D102" s="104">
        <v>40</v>
      </c>
      <c r="E102" s="104">
        <v>20</v>
      </c>
      <c r="F102" s="104">
        <v>0</v>
      </c>
      <c r="G102" s="104">
        <v>0</v>
      </c>
      <c r="H102" s="104"/>
      <c r="I102" s="104"/>
      <c r="J102" s="104">
        <v>40</v>
      </c>
      <c r="K102" s="104">
        <v>20</v>
      </c>
      <c r="L102" s="104">
        <v>0</v>
      </c>
    </row>
    <row r="103" spans="1:14" x14ac:dyDescent="0.25">
      <c r="A103" s="64" t="s">
        <v>166</v>
      </c>
      <c r="D103" s="104">
        <v>190</v>
      </c>
      <c r="E103" s="104">
        <v>47</v>
      </c>
      <c r="F103" s="104">
        <v>0</v>
      </c>
      <c r="G103" s="104">
        <v>0</v>
      </c>
      <c r="H103" s="104">
        <v>190</v>
      </c>
      <c r="I103" s="104">
        <v>190</v>
      </c>
      <c r="J103" s="104">
        <v>190</v>
      </c>
      <c r="K103" s="104">
        <v>47</v>
      </c>
      <c r="L103" s="104">
        <v>0</v>
      </c>
    </row>
    <row r="104" spans="1:14" x14ac:dyDescent="0.25">
      <c r="A104" s="64" t="s">
        <v>167</v>
      </c>
      <c r="D104" s="104">
        <v>90</v>
      </c>
      <c r="E104" s="104">
        <v>0</v>
      </c>
      <c r="F104" s="104">
        <v>0</v>
      </c>
      <c r="G104" s="104">
        <v>0</v>
      </c>
      <c r="H104" s="104"/>
      <c r="I104" s="104"/>
      <c r="J104" s="104">
        <v>90</v>
      </c>
      <c r="K104" s="104">
        <v>0</v>
      </c>
      <c r="L104" s="104">
        <v>0</v>
      </c>
      <c r="N104" s="94" t="s">
        <v>169</v>
      </c>
    </row>
    <row r="105" spans="1:14" x14ac:dyDescent="0.25">
      <c r="A105" s="73" t="s">
        <v>168</v>
      </c>
      <c r="D105" s="97">
        <f>$B$81*D88/100</f>
        <v>26.181719999999999</v>
      </c>
      <c r="E105" s="97"/>
      <c r="F105" s="97">
        <v>0</v>
      </c>
      <c r="G105" s="97">
        <v>0</v>
      </c>
      <c r="H105" s="97">
        <f>$B$81*H95/100</f>
        <v>27.016784240150095</v>
      </c>
      <c r="I105" s="97">
        <f>$B$81*I95/100</f>
        <v>21.613427392120073</v>
      </c>
      <c r="J105" s="97">
        <f>$B$81*J88/100</f>
        <v>22.481548346938776</v>
      </c>
      <c r="K105" s="97"/>
      <c r="L105" s="97">
        <v>0</v>
      </c>
      <c r="N105" s="134"/>
    </row>
    <row r="106" spans="1:14" s="72" customFormat="1" x14ac:dyDescent="0.25">
      <c r="A106" s="72" t="s">
        <v>170</v>
      </c>
      <c r="C106" s="49" t="s">
        <v>7</v>
      </c>
      <c r="D106" s="113">
        <f t="shared" ref="D106:L106" si="25">SUM(D101:D105)</f>
        <v>746.18172000000004</v>
      </c>
      <c r="E106" s="113">
        <f t="shared" si="25"/>
        <v>367</v>
      </c>
      <c r="F106" s="113">
        <f t="shared" si="25"/>
        <v>100</v>
      </c>
      <c r="G106" s="113">
        <f t="shared" si="25"/>
        <v>200</v>
      </c>
      <c r="H106" s="113">
        <f t="shared" si="25"/>
        <v>717.01678424015006</v>
      </c>
      <c r="I106" s="113">
        <f t="shared" si="25"/>
        <v>711.61342739212012</v>
      </c>
      <c r="J106" s="113">
        <f t="shared" si="25"/>
        <v>742.48154834693878</v>
      </c>
      <c r="K106" s="113">
        <f t="shared" si="25"/>
        <v>367</v>
      </c>
      <c r="L106" s="113">
        <f t="shared" si="25"/>
        <v>0</v>
      </c>
      <c r="M106" s="64"/>
      <c r="N106" s="94"/>
    </row>
    <row r="107" spans="1:14" x14ac:dyDescent="0.25">
      <c r="D107" s="46"/>
      <c r="E107" s="46"/>
      <c r="F107" s="46"/>
      <c r="G107" s="46"/>
      <c r="H107" s="46"/>
      <c r="I107" s="46"/>
      <c r="J107" s="46"/>
      <c r="K107" s="46"/>
      <c r="L107" s="46"/>
    </row>
    <row r="108" spans="1:14" ht="27" x14ac:dyDescent="0.3">
      <c r="A108" s="63" t="s">
        <v>171</v>
      </c>
      <c r="D108" s="138" t="str">
        <f>D16</f>
        <v>Citerne à mazout</v>
      </c>
      <c r="E108" s="138" t="str">
        <f t="shared" ref="E108:L108" si="26">E16</f>
        <v>Chaudière à gaz</v>
      </c>
      <c r="F108" s="138" t="str">
        <f t="shared" si="26"/>
        <v>PaC saline</v>
      </c>
      <c r="G108" s="138" t="str">
        <f t="shared" si="26"/>
        <v>PaC air</v>
      </c>
      <c r="H108" s="138" t="str">
        <f t="shared" si="26"/>
        <v>Granulés</v>
      </c>
      <c r="I108" s="138" t="str">
        <f t="shared" si="26"/>
        <v>Granulés / solaire</v>
      </c>
      <c r="J108" s="138" t="str">
        <f t="shared" si="26"/>
        <v>Mazout / solaire</v>
      </c>
      <c r="K108" s="138" t="str">
        <f t="shared" si="26"/>
        <v>Gaz / solaire</v>
      </c>
      <c r="L108" s="138" t="str">
        <f t="shared" si="26"/>
        <v>Chauffage à distance</v>
      </c>
    </row>
    <row r="109" spans="1:14" x14ac:dyDescent="0.25">
      <c r="A109" s="64" t="s">
        <v>96</v>
      </c>
      <c r="D109" s="102">
        <f t="shared" ref="D109:L109" si="27">D82</f>
        <v>1621.0981591323032</v>
      </c>
      <c r="E109" s="102">
        <f t="shared" si="27"/>
        <v>1201.2804841930845</v>
      </c>
      <c r="F109" s="102">
        <f t="shared" si="27"/>
        <v>1989.7763474688991</v>
      </c>
      <c r="G109" s="102">
        <f t="shared" si="27"/>
        <v>1759.2757709282109</v>
      </c>
      <c r="H109" s="102">
        <f t="shared" si="27"/>
        <v>1815.2925220313709</v>
      </c>
      <c r="I109" s="102">
        <f t="shared" si="27"/>
        <v>2317.0029324962234</v>
      </c>
      <c r="J109" s="102">
        <f t="shared" si="27"/>
        <v>2061.0779972318674</v>
      </c>
      <c r="K109" s="102">
        <f t="shared" si="27"/>
        <v>1624.2877805220724</v>
      </c>
      <c r="L109" s="102">
        <f t="shared" si="27"/>
        <v>0</v>
      </c>
    </row>
    <row r="110" spans="1:14" x14ac:dyDescent="0.25">
      <c r="A110" s="64" t="s">
        <v>172</v>
      </c>
      <c r="D110" s="102">
        <f t="shared" ref="D110:J110" si="28">D98</f>
        <v>1348.794942</v>
      </c>
      <c r="E110" s="102">
        <f t="shared" si="28"/>
        <v>1342.5133182831685</v>
      </c>
      <c r="F110" s="102">
        <f t="shared" si="28"/>
        <v>742.76242676470588</v>
      </c>
      <c r="G110" s="102">
        <f t="shared" si="28"/>
        <v>929.76625038461543</v>
      </c>
      <c r="H110" s="102">
        <f t="shared" si="28"/>
        <v>1406.1560777392122</v>
      </c>
      <c r="I110" s="102">
        <f t="shared" si="28"/>
        <v>1145.9248621913696</v>
      </c>
      <c r="J110" s="102">
        <f t="shared" si="28"/>
        <v>1179.1744323397959</v>
      </c>
      <c r="K110" s="102">
        <f>K98</f>
        <v>1207.1363205406931</v>
      </c>
      <c r="L110" s="102">
        <f>L98</f>
        <v>0</v>
      </c>
    </row>
    <row r="111" spans="1:14" x14ac:dyDescent="0.25">
      <c r="A111" s="64" t="s">
        <v>98</v>
      </c>
      <c r="D111" s="102">
        <f t="shared" ref="D111:J111" si="29">D106</f>
        <v>746.18172000000004</v>
      </c>
      <c r="E111" s="102">
        <f t="shared" si="29"/>
        <v>367</v>
      </c>
      <c r="F111" s="102">
        <f t="shared" si="29"/>
        <v>100</v>
      </c>
      <c r="G111" s="102">
        <f t="shared" si="29"/>
        <v>200</v>
      </c>
      <c r="H111" s="102">
        <f t="shared" si="29"/>
        <v>717.01678424015006</v>
      </c>
      <c r="I111" s="102">
        <f t="shared" si="29"/>
        <v>711.61342739212012</v>
      </c>
      <c r="J111" s="102">
        <f t="shared" si="29"/>
        <v>742.48154834693878</v>
      </c>
      <c r="K111" s="102">
        <f>K106</f>
        <v>367</v>
      </c>
      <c r="L111" s="102">
        <f>L106</f>
        <v>0</v>
      </c>
      <c r="N111" s="134"/>
    </row>
    <row r="112" spans="1:14" s="72" customFormat="1" x14ac:dyDescent="0.25">
      <c r="A112" s="72" t="s">
        <v>171</v>
      </c>
      <c r="C112" s="87" t="s">
        <v>7</v>
      </c>
      <c r="D112" s="105">
        <f>SUM(D109:D111)</f>
        <v>3716.074821132303</v>
      </c>
      <c r="E112" s="105">
        <f t="shared" ref="E112:L112" si="30">SUM(E109:E111)</f>
        <v>2910.7938024762529</v>
      </c>
      <c r="F112" s="105">
        <f t="shared" si="30"/>
        <v>2832.5387742336052</v>
      </c>
      <c r="G112" s="105">
        <f t="shared" si="30"/>
        <v>2889.0420213128264</v>
      </c>
      <c r="H112" s="105">
        <f t="shared" si="30"/>
        <v>3938.4653840107335</v>
      </c>
      <c r="I112" s="105">
        <f t="shared" si="30"/>
        <v>4174.5412220797125</v>
      </c>
      <c r="J112" s="105">
        <f t="shared" si="30"/>
        <v>3982.7339779186018</v>
      </c>
      <c r="K112" s="105">
        <f t="shared" si="30"/>
        <v>3198.4241010627657</v>
      </c>
      <c r="L112" s="105">
        <f t="shared" si="30"/>
        <v>0</v>
      </c>
      <c r="M112" s="64"/>
      <c r="N112" s="94"/>
    </row>
    <row r="113" spans="1:14" x14ac:dyDescent="0.25">
      <c r="A113" s="64" t="s">
        <v>173</v>
      </c>
      <c r="C113" s="46" t="s">
        <v>6</v>
      </c>
      <c r="D113" s="102">
        <v>100</v>
      </c>
      <c r="E113" s="102">
        <f t="shared" ref="E113:L113" si="31">E112/$D$112*100</f>
        <v>78.329795350819182</v>
      </c>
      <c r="F113" s="102">
        <f t="shared" si="31"/>
        <v>76.223943558018007</v>
      </c>
      <c r="G113" s="102">
        <f t="shared" si="31"/>
        <v>77.744452422853101</v>
      </c>
      <c r="H113" s="102">
        <f t="shared" si="31"/>
        <v>105.9845555749781</v>
      </c>
      <c r="I113" s="102">
        <f t="shared" si="31"/>
        <v>112.33738347624855</v>
      </c>
      <c r="J113" s="102">
        <f t="shared" si="31"/>
        <v>107.17582851857237</v>
      </c>
      <c r="K113" s="102">
        <f t="shared" si="31"/>
        <v>86.069959702485022</v>
      </c>
      <c r="L113" s="102">
        <f t="shared" si="31"/>
        <v>0</v>
      </c>
    </row>
    <row r="114" spans="1:14" x14ac:dyDescent="0.25">
      <c r="C114" s="46"/>
      <c r="D114" s="102"/>
      <c r="E114" s="102"/>
      <c r="F114" s="102"/>
      <c r="G114" s="102"/>
      <c r="H114" s="102"/>
      <c r="I114" s="102"/>
      <c r="J114" s="102"/>
      <c r="K114" s="102"/>
      <c r="L114" s="102"/>
      <c r="N114" s="121"/>
    </row>
    <row r="115" spans="1:14" s="62" customFormat="1" x14ac:dyDescent="0.25">
      <c r="A115" s="72" t="s">
        <v>174</v>
      </c>
      <c r="C115" s="52" t="s">
        <v>184</v>
      </c>
      <c r="D115" s="106">
        <f t="shared" ref="D115:L115" si="32">D112/$E$20*100</f>
        <v>25.806171919896805</v>
      </c>
      <c r="E115" s="106">
        <f t="shared" si="32"/>
        <v>20.213921652735735</v>
      </c>
      <c r="F115" s="106">
        <f t="shared" si="32"/>
        <v>19.670481918707232</v>
      </c>
      <c r="G115" s="106">
        <f t="shared" si="32"/>
        <v>20.062867050423844</v>
      </c>
      <c r="H115" s="106">
        <f t="shared" si="32"/>
        <v>27.350556620217422</v>
      </c>
      <c r="I115" s="106">
        <f t="shared" si="32"/>
        <v>28.989978310194441</v>
      </c>
      <c r="J115" s="106">
        <f t="shared" si="32"/>
        <v>27.657978564076576</v>
      </c>
      <c r="K115" s="106">
        <f t="shared" si="32"/>
        <v>22.211361772209184</v>
      </c>
      <c r="L115" s="106">
        <f t="shared" si="32"/>
        <v>0</v>
      </c>
      <c r="M115" s="58"/>
      <c r="N115" s="121"/>
    </row>
    <row r="116" spans="1:14" s="62" customFormat="1" x14ac:dyDescent="0.25">
      <c r="A116" s="72"/>
      <c r="D116" s="42"/>
      <c r="E116" s="42"/>
      <c r="F116" s="42"/>
      <c r="G116" s="42"/>
      <c r="H116" s="42"/>
      <c r="I116" s="42"/>
      <c r="J116" s="42"/>
      <c r="K116" s="42"/>
      <c r="L116" s="42"/>
      <c r="M116" s="58"/>
      <c r="N116" s="94"/>
    </row>
    <row r="117" spans="1:14" ht="15.6" x14ac:dyDescent="0.3">
      <c r="A117" s="63" t="s">
        <v>175</v>
      </c>
      <c r="D117" s="46"/>
      <c r="E117" s="46"/>
      <c r="F117" s="46"/>
      <c r="G117" s="46"/>
      <c r="H117" s="46"/>
      <c r="I117" s="46"/>
      <c r="J117" s="46"/>
      <c r="K117" s="46"/>
      <c r="L117" s="46"/>
    </row>
    <row r="118" spans="1:14" s="62" customFormat="1" ht="26.4" x14ac:dyDescent="0.25">
      <c r="A118" s="84"/>
      <c r="D118" s="138" t="str">
        <f>D16</f>
        <v>Citerne à mazout</v>
      </c>
      <c r="E118" s="138" t="str">
        <f t="shared" ref="E118:L118" si="33">E16</f>
        <v>Chaudière à gaz</v>
      </c>
      <c r="F118" s="138" t="str">
        <f t="shared" si="33"/>
        <v>PaC saline</v>
      </c>
      <c r="G118" s="138" t="str">
        <f t="shared" si="33"/>
        <v>PaC air</v>
      </c>
      <c r="H118" s="138" t="str">
        <f t="shared" si="33"/>
        <v>Granulés</v>
      </c>
      <c r="I118" s="138" t="str">
        <f t="shared" si="33"/>
        <v>Granulés / solaire</v>
      </c>
      <c r="J118" s="138" t="str">
        <f t="shared" si="33"/>
        <v>Mazout / solaire</v>
      </c>
      <c r="K118" s="138" t="str">
        <f t="shared" si="33"/>
        <v>Gaz / solaire</v>
      </c>
      <c r="L118" s="138" t="str">
        <f t="shared" si="33"/>
        <v>Chauffage à distance</v>
      </c>
      <c r="M118" s="58"/>
      <c r="N118" s="94" t="s">
        <v>179</v>
      </c>
    </row>
    <row r="119" spans="1:14" x14ac:dyDescent="0.25">
      <c r="A119" s="73" t="s">
        <v>176</v>
      </c>
      <c r="C119" s="53" t="s">
        <v>7</v>
      </c>
      <c r="D119" s="107">
        <f t="shared" ref="D119:L119" si="34">D112</f>
        <v>3716.074821132303</v>
      </c>
      <c r="E119" s="107">
        <f t="shared" si="34"/>
        <v>2910.7938024762529</v>
      </c>
      <c r="F119" s="107">
        <f t="shared" si="34"/>
        <v>2832.5387742336052</v>
      </c>
      <c r="G119" s="107">
        <f t="shared" si="34"/>
        <v>2889.0420213128264</v>
      </c>
      <c r="H119" s="107">
        <f t="shared" si="34"/>
        <v>3938.4653840107335</v>
      </c>
      <c r="I119" s="107">
        <f t="shared" si="34"/>
        <v>4174.5412220797125</v>
      </c>
      <c r="J119" s="107">
        <f t="shared" si="34"/>
        <v>3982.7339779186018</v>
      </c>
      <c r="K119" s="107">
        <f t="shared" si="34"/>
        <v>3198.4241010627657</v>
      </c>
      <c r="L119" s="108">
        <f t="shared" si="34"/>
        <v>0</v>
      </c>
    </row>
    <row r="120" spans="1:14" x14ac:dyDescent="0.25">
      <c r="A120" s="73" t="s">
        <v>229</v>
      </c>
      <c r="B120" s="118">
        <v>78</v>
      </c>
      <c r="C120" s="94" t="s">
        <v>10</v>
      </c>
      <c r="D120" s="109">
        <f>$B120*D43</f>
        <v>302.24177567999999</v>
      </c>
      <c r="E120" s="109">
        <f>$B120*E43</f>
        <v>226.43627086079997</v>
      </c>
      <c r="F120" s="110">
        <v>0</v>
      </c>
      <c r="G120" s="110">
        <v>0</v>
      </c>
      <c r="H120" s="110">
        <v>0</v>
      </c>
      <c r="I120" s="110">
        <v>0</v>
      </c>
      <c r="J120" s="110">
        <f>$B120*J43</f>
        <v>259.52699411706124</v>
      </c>
      <c r="K120" s="110">
        <f>$B120*K43</f>
        <v>192.47083023168</v>
      </c>
      <c r="L120" s="96">
        <v>0</v>
      </c>
      <c r="N120" s="149" t="s">
        <v>230</v>
      </c>
    </row>
    <row r="121" spans="1:14" x14ac:dyDescent="0.25">
      <c r="A121" s="73" t="s">
        <v>177</v>
      </c>
      <c r="C121" s="51" t="s">
        <v>184</v>
      </c>
      <c r="D121" s="111">
        <v>4.5</v>
      </c>
      <c r="E121" s="111">
        <v>3</v>
      </c>
      <c r="F121" s="111">
        <v>5</v>
      </c>
      <c r="G121" s="111">
        <v>5</v>
      </c>
      <c r="H121" s="111">
        <v>1.5</v>
      </c>
      <c r="I121" s="111">
        <v>1.5</v>
      </c>
      <c r="J121" s="111">
        <v>4.5</v>
      </c>
      <c r="K121" s="111">
        <v>3</v>
      </c>
      <c r="L121" s="112">
        <v>1.8</v>
      </c>
      <c r="N121" s="94" t="s">
        <v>180</v>
      </c>
    </row>
    <row r="122" spans="1:14" x14ac:dyDescent="0.25">
      <c r="A122" s="73" t="s">
        <v>178</v>
      </c>
      <c r="C122" s="51" t="s">
        <v>7</v>
      </c>
      <c r="D122" s="110">
        <f t="shared" ref="D122:L122" si="35">D86*D121/100</f>
        <v>654.54300000000001</v>
      </c>
      <c r="E122" s="110">
        <f t="shared" si="35"/>
        <v>431.99838000000005</v>
      </c>
      <c r="F122" s="110">
        <f t="shared" si="35"/>
        <v>211.76391176470588</v>
      </c>
      <c r="G122" s="110">
        <f t="shared" si="35"/>
        <v>276.92203846153842</v>
      </c>
      <c r="H122" s="110">
        <f t="shared" si="35"/>
        <v>263.41364634146339</v>
      </c>
      <c r="I122" s="110">
        <f t="shared" si="35"/>
        <v>210.73091707317076</v>
      </c>
      <c r="J122" s="110">
        <f t="shared" si="35"/>
        <v>562.03870867346939</v>
      </c>
      <c r="K122" s="110">
        <f t="shared" si="35"/>
        <v>367.198623</v>
      </c>
      <c r="L122" s="96">
        <f t="shared" si="35"/>
        <v>259.199028</v>
      </c>
    </row>
    <row r="123" spans="1:14" x14ac:dyDescent="0.25">
      <c r="D123" s="110"/>
      <c r="E123" s="110"/>
      <c r="F123" s="110"/>
      <c r="G123" s="110"/>
      <c r="H123" s="110"/>
      <c r="I123" s="110"/>
      <c r="J123" s="110"/>
      <c r="K123" s="110"/>
      <c r="L123" s="96"/>
      <c r="N123" s="121"/>
    </row>
    <row r="124" spans="1:14" s="59" customFormat="1" x14ac:dyDescent="0.25">
      <c r="A124" s="84" t="s">
        <v>175</v>
      </c>
      <c r="B124" s="84"/>
      <c r="C124" s="85" t="s">
        <v>7</v>
      </c>
      <c r="D124" s="113">
        <f t="shared" ref="D124:J124" si="36">SUM(D119:D120)+D122</f>
        <v>4672.8595968123027</v>
      </c>
      <c r="E124" s="113">
        <f t="shared" si="36"/>
        <v>3569.228453337053</v>
      </c>
      <c r="F124" s="113">
        <f t="shared" si="36"/>
        <v>3044.3026859983111</v>
      </c>
      <c r="G124" s="113">
        <f t="shared" si="36"/>
        <v>3165.9640597743646</v>
      </c>
      <c r="H124" s="113">
        <f t="shared" si="36"/>
        <v>4201.8790303521964</v>
      </c>
      <c r="I124" s="113">
        <f t="shared" si="36"/>
        <v>4385.272139152883</v>
      </c>
      <c r="J124" s="113">
        <f t="shared" si="36"/>
        <v>4804.2996807091322</v>
      </c>
      <c r="K124" s="113">
        <f>SUM(K119:K120)+K122</f>
        <v>3758.0935542944453</v>
      </c>
      <c r="L124" s="114">
        <f>SUM(L119:L120)+L122</f>
        <v>259.199028</v>
      </c>
      <c r="M124" s="58"/>
      <c r="N124" s="94"/>
    </row>
    <row r="125" spans="1:14" x14ac:dyDescent="0.25">
      <c r="B125" s="64"/>
      <c r="C125" s="86"/>
      <c r="D125" s="115"/>
      <c r="E125" s="115"/>
      <c r="F125" s="115"/>
      <c r="G125" s="115"/>
      <c r="H125" s="115"/>
      <c r="I125" s="115"/>
      <c r="J125" s="115"/>
      <c r="K125" s="115"/>
      <c r="L125" s="116"/>
      <c r="N125" s="121"/>
    </row>
    <row r="126" spans="1:14" s="59" customFormat="1" x14ac:dyDescent="0.25">
      <c r="A126" s="84" t="s">
        <v>232</v>
      </c>
      <c r="B126" s="84"/>
      <c r="C126" s="85" t="s">
        <v>184</v>
      </c>
      <c r="D126" s="113">
        <f t="shared" ref="D126:L126" si="37">D124/$E$20*100</f>
        <v>32.450535556260441</v>
      </c>
      <c r="E126" s="113">
        <f t="shared" si="37"/>
        <v>24.78640165273573</v>
      </c>
      <c r="F126" s="113">
        <f t="shared" si="37"/>
        <v>21.141070154001348</v>
      </c>
      <c r="G126" s="113">
        <f t="shared" si="37"/>
        <v>21.985943973500767</v>
      </c>
      <c r="H126" s="113">
        <f t="shared" si="37"/>
        <v>29.179824912900344</v>
      </c>
      <c r="I126" s="113">
        <f t="shared" si="37"/>
        <v>30.453392944340784</v>
      </c>
      <c r="J126" s="113">
        <f t="shared" si="37"/>
        <v>33.363317339586771</v>
      </c>
      <c r="K126" s="113">
        <f t="shared" si="37"/>
        <v>26.097969772209183</v>
      </c>
      <c r="L126" s="114">
        <f t="shared" si="37"/>
        <v>1.7999999999999998</v>
      </c>
      <c r="M126" s="58"/>
      <c r="N126" s="121"/>
    </row>
    <row r="127" spans="1:14" s="59" customFormat="1" x14ac:dyDescent="0.25">
      <c r="A127" s="84"/>
      <c r="C127" s="53"/>
      <c r="D127" s="41"/>
      <c r="E127" s="41"/>
      <c r="F127" s="41"/>
      <c r="G127" s="41"/>
      <c r="H127" s="41"/>
      <c r="I127" s="41"/>
      <c r="J127" s="41"/>
      <c r="K127" s="41"/>
      <c r="L127" s="41"/>
      <c r="M127" s="58"/>
      <c r="N127" s="121"/>
    </row>
    <row r="128" spans="1:14" s="59" customFormat="1" x14ac:dyDescent="0.25">
      <c r="A128" s="84"/>
      <c r="C128" s="53"/>
      <c r="D128" s="41"/>
      <c r="E128" s="41"/>
      <c r="F128" s="41"/>
      <c r="G128" s="41"/>
      <c r="H128" s="41"/>
      <c r="I128" s="41"/>
      <c r="J128" s="41"/>
      <c r="K128" s="41"/>
      <c r="L128" s="41"/>
      <c r="M128" s="61"/>
      <c r="N128" s="121"/>
    </row>
    <row r="129" spans="1:14" s="59" customFormat="1" x14ac:dyDescent="0.25">
      <c r="A129" s="84" t="s">
        <v>228</v>
      </c>
      <c r="C129" s="53"/>
      <c r="D129" s="41"/>
      <c r="E129" s="41"/>
      <c r="F129" s="41"/>
      <c r="G129" s="41"/>
      <c r="H129" s="41"/>
      <c r="I129" s="41"/>
      <c r="J129" s="41"/>
      <c r="K129" s="41"/>
      <c r="L129" s="41"/>
      <c r="M129" s="61"/>
      <c r="N129" s="121"/>
    </row>
    <row r="130" spans="1:14" x14ac:dyDescent="0.25">
      <c r="A130" s="73"/>
      <c r="B130" s="61"/>
      <c r="C130" s="61"/>
      <c r="D130" s="61"/>
      <c r="E130" s="61"/>
      <c r="F130" s="61"/>
      <c r="G130" s="61"/>
      <c r="H130" s="61"/>
      <c r="I130" s="61"/>
      <c r="J130" s="61"/>
      <c r="K130" s="61"/>
      <c r="L130" s="61"/>
      <c r="M130" s="61"/>
      <c r="N130" s="121"/>
    </row>
    <row r="131" spans="1:14" ht="15.6" x14ac:dyDescent="0.3">
      <c r="A131" s="63" t="s">
        <v>181</v>
      </c>
      <c r="B131" s="61"/>
      <c r="C131" s="61"/>
      <c r="D131" s="61"/>
      <c r="E131" s="61"/>
      <c r="F131" s="61"/>
      <c r="G131" s="61"/>
      <c r="H131" s="61"/>
      <c r="I131" s="61"/>
      <c r="J131" s="61"/>
      <c r="K131" s="61"/>
      <c r="L131" s="61"/>
      <c r="M131" s="73"/>
      <c r="N131" s="121"/>
    </row>
    <row r="132" spans="1:14" x14ac:dyDescent="0.25">
      <c r="A132" s="66" t="s">
        <v>92</v>
      </c>
      <c r="B132" s="61"/>
      <c r="C132" s="61"/>
      <c r="D132" s="61"/>
      <c r="E132" s="61"/>
      <c r="F132" s="61"/>
      <c r="G132" s="61"/>
      <c r="H132" s="61"/>
      <c r="I132" s="61"/>
      <c r="J132" s="61"/>
      <c r="K132" s="61"/>
      <c r="L132" s="61"/>
      <c r="M132" s="73"/>
    </row>
    <row r="133" spans="1:14" x14ac:dyDescent="0.25">
      <c r="A133" s="73" t="s">
        <v>220</v>
      </c>
      <c r="B133" s="61"/>
      <c r="C133" s="61"/>
      <c r="D133" s="61"/>
      <c r="E133" s="61"/>
      <c r="F133" s="61"/>
      <c r="G133" s="61"/>
      <c r="H133" s="61"/>
      <c r="M133" s="73"/>
    </row>
    <row r="134" spans="1:14" x14ac:dyDescent="0.25">
      <c r="A134" s="73" t="s">
        <v>221</v>
      </c>
      <c r="B134" s="61"/>
      <c r="C134" s="61"/>
      <c r="D134" s="61"/>
      <c r="E134" s="61"/>
      <c r="F134" s="61"/>
      <c r="G134" s="61"/>
      <c r="H134" s="61"/>
      <c r="M134" s="73"/>
    </row>
    <row r="135" spans="1:14" x14ac:dyDescent="0.25">
      <c r="A135" s="73" t="s">
        <v>222</v>
      </c>
      <c r="M135" s="73"/>
    </row>
    <row r="136" spans="1:14" ht="91.5" customHeight="1" x14ac:dyDescent="0.25">
      <c r="A136" s="150" t="s">
        <v>223</v>
      </c>
      <c r="B136" s="150"/>
      <c r="C136" s="150"/>
      <c r="D136" s="150"/>
      <c r="E136" s="150"/>
      <c r="F136" s="150"/>
      <c r="G136" s="150"/>
      <c r="H136" s="150"/>
      <c r="I136" s="150"/>
      <c r="J136" s="150"/>
      <c r="K136" s="150"/>
      <c r="L136" s="150"/>
      <c r="M136" s="73"/>
    </row>
    <row r="137" spans="1:14" x14ac:dyDescent="0.25">
      <c r="A137" s="165"/>
      <c r="B137" s="162"/>
      <c r="C137" s="162"/>
      <c r="D137" s="162"/>
      <c r="E137" s="162"/>
      <c r="F137" s="162"/>
      <c r="G137" s="162"/>
      <c r="H137" s="162"/>
      <c r="I137" s="162"/>
      <c r="J137" s="162"/>
      <c r="K137" s="162"/>
      <c r="L137" s="162"/>
      <c r="M137" s="162"/>
    </row>
    <row r="138" spans="1:14" x14ac:dyDescent="0.25">
      <c r="A138" s="73" t="s">
        <v>182</v>
      </c>
      <c r="B138" s="61"/>
      <c r="C138" s="61"/>
      <c r="D138" s="61"/>
      <c r="E138" s="61"/>
      <c r="F138" s="61"/>
      <c r="G138" s="61"/>
      <c r="H138" s="61"/>
      <c r="I138" s="61"/>
      <c r="J138" s="61"/>
      <c r="K138" s="61"/>
      <c r="L138" s="61"/>
      <c r="M138" s="61"/>
    </row>
    <row r="139" spans="1:14" ht="14.25" customHeight="1" x14ac:dyDescent="0.25">
      <c r="A139" s="151" t="s">
        <v>183</v>
      </c>
      <c r="B139" s="151"/>
      <c r="C139" s="151"/>
      <c r="D139" s="151"/>
      <c r="E139" s="151"/>
      <c r="F139" s="151"/>
      <c r="G139" s="151"/>
      <c r="H139" s="151"/>
      <c r="I139" s="151"/>
      <c r="J139" s="151"/>
      <c r="K139" s="151"/>
      <c r="L139" s="151"/>
      <c r="M139" s="61"/>
    </row>
    <row r="140" spans="1:14" x14ac:dyDescent="0.25">
      <c r="A140" s="151"/>
      <c r="B140" s="151"/>
      <c r="C140" s="151"/>
      <c r="D140" s="151"/>
      <c r="E140" s="151"/>
      <c r="F140" s="151"/>
      <c r="G140" s="151"/>
      <c r="H140" s="151"/>
      <c r="I140" s="151"/>
      <c r="J140" s="151"/>
      <c r="K140" s="151"/>
      <c r="L140" s="151"/>
      <c r="M140" s="61"/>
    </row>
    <row r="141" spans="1:14" x14ac:dyDescent="0.25">
      <c r="A141" s="151"/>
      <c r="B141" s="151"/>
      <c r="C141" s="151"/>
      <c r="D141" s="151"/>
      <c r="E141" s="151"/>
      <c r="F141" s="151"/>
      <c r="G141" s="151"/>
      <c r="H141" s="151"/>
      <c r="I141" s="151"/>
      <c r="J141" s="151"/>
      <c r="K141" s="151"/>
      <c r="L141" s="151"/>
      <c r="M141" s="61"/>
    </row>
    <row r="142" spans="1:14" x14ac:dyDescent="0.25">
      <c r="A142" s="151"/>
      <c r="B142" s="151"/>
      <c r="C142" s="151"/>
      <c r="D142" s="151"/>
      <c r="E142" s="151"/>
      <c r="F142" s="151"/>
      <c r="G142" s="151"/>
      <c r="H142" s="151"/>
      <c r="I142" s="151"/>
      <c r="J142" s="151"/>
      <c r="K142" s="151"/>
      <c r="L142" s="151"/>
      <c r="M142" s="61"/>
    </row>
    <row r="143" spans="1:14" x14ac:dyDescent="0.25">
      <c r="A143" s="151"/>
      <c r="B143" s="151"/>
      <c r="C143" s="151"/>
      <c r="D143" s="151"/>
      <c r="E143" s="151"/>
      <c r="F143" s="151"/>
      <c r="G143" s="151"/>
      <c r="H143" s="151"/>
      <c r="I143" s="151"/>
      <c r="J143" s="151"/>
      <c r="K143" s="151"/>
      <c r="L143" s="151"/>
      <c r="M143" s="61"/>
    </row>
    <row r="144" spans="1:14" x14ac:dyDescent="0.25">
      <c r="A144" s="151"/>
      <c r="B144" s="151"/>
      <c r="C144" s="151"/>
      <c r="D144" s="151"/>
      <c r="E144" s="151"/>
      <c r="F144" s="151"/>
      <c r="G144" s="151"/>
      <c r="H144" s="151"/>
      <c r="I144" s="151"/>
      <c r="J144" s="151"/>
      <c r="K144" s="151"/>
      <c r="L144" s="151"/>
      <c r="M144" s="61"/>
    </row>
  </sheetData>
  <sheetProtection algorithmName="SHA-512" hashValue="M1Pi8M+pKmdXImx/kZ0vgA9p5lV4Py/kIsH3dFcPiENl73UqwFkHb5KjMmczZWv6kcv1hGeoANPyaNwCwn0dKA==" saltValue="a1Z09Y1DHgsGEuuDmVwedQ==" spinCount="100000" sheet="1" objects="1" scenarios="1"/>
  <mergeCells count="26">
    <mergeCell ref="A139:L144"/>
    <mergeCell ref="E2:G2"/>
    <mergeCell ref="A8:L8"/>
    <mergeCell ref="A38:L38"/>
    <mergeCell ref="A47:M47"/>
    <mergeCell ref="F40:G40"/>
    <mergeCell ref="H40:I40"/>
    <mergeCell ref="A23:L23"/>
    <mergeCell ref="A137:M137"/>
    <mergeCell ref="A136:L136"/>
    <mergeCell ref="A4:L5"/>
    <mergeCell ref="N92:N93"/>
    <mergeCell ref="A35:L36"/>
    <mergeCell ref="N77:N79"/>
    <mergeCell ref="H13:L13"/>
    <mergeCell ref="A49:L49"/>
    <mergeCell ref="A22:L22"/>
    <mergeCell ref="A34:M34"/>
    <mergeCell ref="A20:C20"/>
    <mergeCell ref="N2:N3"/>
    <mergeCell ref="N25:N26"/>
    <mergeCell ref="N54:N55"/>
    <mergeCell ref="N58:N59"/>
    <mergeCell ref="N75:N76"/>
    <mergeCell ref="N41:N46"/>
    <mergeCell ref="N18:N19"/>
  </mergeCells>
  <phoneticPr fontId="6" type="noConversion"/>
  <dataValidations count="3">
    <dataValidation type="list" allowBlank="1" showInputMessage="1" showErrorMessage="1" sqref="F41:G41" xr:uid="{00000000-0002-0000-0000-000000000000}">
      <formula1>Strommix</formula1>
    </dataValidation>
    <dataValidation type="list" allowBlank="1" showInputMessage="1" showErrorMessage="1" sqref="H41:I41" xr:uid="{00000000-0002-0000-0000-000001000000}">
      <formula1>Pellet</formula1>
    </dataValidation>
    <dataValidation type="list" allowBlank="1" showInputMessage="1" showErrorMessage="1" sqref="L41" xr:uid="{00000000-0002-0000-0000-000002000000}">
      <formula1>Fernwärme</formula1>
    </dataValidation>
  </dataValidations>
  <hyperlinks>
    <hyperlink ref="F9" r:id="rId1" xr:uid="{00000000-0004-0000-0000-000000000000}"/>
  </hyperlinks>
  <pageMargins left="0.39370078740157483" right="0" top="0.59055118110236227" bottom="0.31496062992125984" header="0.27559055118110237" footer="0.15748031496062992"/>
  <pageSetup paperSize="9" scale="70" fitToHeight="0" orientation="landscape" r:id="rId2"/>
  <headerFooter alignWithMargins="0"/>
  <ignoredErrors>
    <ignoredError sqref="D55" unlocked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M31"/>
  <sheetViews>
    <sheetView topLeftCell="D1" workbookViewId="0">
      <selection activeCell="F24" sqref="F24"/>
    </sheetView>
  </sheetViews>
  <sheetFormatPr baseColWidth="10" defaultColWidth="9.109375" defaultRowHeight="13.2" outlineLevelCol="1" x14ac:dyDescent="0.25"/>
  <cols>
    <col min="1" max="1" width="13.88671875" hidden="1" customWidth="1" outlineLevel="1"/>
    <col min="2" max="2" width="54.88671875" hidden="1" customWidth="1" outlineLevel="1"/>
    <col min="3" max="3" width="61.5546875" hidden="1" customWidth="1" outlineLevel="1"/>
    <col min="4" max="4" width="69.5546875" customWidth="1" collapsed="1"/>
    <col min="5" max="5" width="11.44140625" customWidth="1"/>
    <col min="6" max="6" width="15.6640625" customWidth="1"/>
    <col min="7" max="8" width="11.44140625" customWidth="1"/>
    <col min="9" max="9" width="14.33203125" customWidth="1"/>
    <col min="10" max="15" width="11.44140625" customWidth="1"/>
    <col min="16" max="16" width="22.33203125" bestFit="1" customWidth="1"/>
    <col min="17" max="18" width="11.44140625" customWidth="1"/>
    <col min="19" max="19" width="27.6640625" customWidth="1"/>
    <col min="20" max="256" width="11.44140625" customWidth="1"/>
  </cols>
  <sheetData>
    <row r="4" spans="1:13" x14ac:dyDescent="0.25">
      <c r="A4" s="12"/>
      <c r="B4" s="10"/>
      <c r="C4" s="10"/>
      <c r="D4" s="10"/>
      <c r="E4" s="11"/>
      <c r="F4" s="140" t="s">
        <v>203</v>
      </c>
      <c r="G4" s="10" t="s">
        <v>13</v>
      </c>
      <c r="H4" s="11" t="s">
        <v>14</v>
      </c>
      <c r="I4" s="140" t="s">
        <v>204</v>
      </c>
      <c r="J4" s="10" t="s">
        <v>15</v>
      </c>
      <c r="K4" s="11" t="s">
        <v>16</v>
      </c>
    </row>
    <row r="5" spans="1:13" x14ac:dyDescent="0.25">
      <c r="A5" s="22" t="s">
        <v>37</v>
      </c>
      <c r="B5" s="20" t="s">
        <v>17</v>
      </c>
      <c r="C5" s="20" t="s">
        <v>18</v>
      </c>
      <c r="D5" s="4" t="s">
        <v>217</v>
      </c>
      <c r="E5" s="4" t="s">
        <v>87</v>
      </c>
      <c r="F5" s="22" t="s">
        <v>19</v>
      </c>
      <c r="G5" s="20" t="s">
        <v>19</v>
      </c>
      <c r="H5" s="21" t="s">
        <v>19</v>
      </c>
      <c r="I5" s="22" t="s">
        <v>20</v>
      </c>
      <c r="J5" s="20" t="s">
        <v>20</v>
      </c>
      <c r="K5" s="21" t="s">
        <v>20</v>
      </c>
    </row>
    <row r="6" spans="1:13" x14ac:dyDescent="0.25">
      <c r="A6" s="5"/>
      <c r="B6" s="4"/>
      <c r="C6" s="4" t="s">
        <v>52</v>
      </c>
      <c r="D6" s="4" t="s">
        <v>188</v>
      </c>
      <c r="E6" s="13" t="s">
        <v>21</v>
      </c>
      <c r="F6" s="14">
        <v>65.953701158933001</v>
      </c>
      <c r="G6" s="15">
        <v>1.9528548410669999</v>
      </c>
      <c r="H6" s="16">
        <v>67.906555999999995</v>
      </c>
      <c r="I6" s="17">
        <v>8.8672496752573202E-2</v>
      </c>
      <c r="J6" s="18">
        <v>6.8256324742679993E-4</v>
      </c>
      <c r="K6" s="19">
        <v>8.935506E-2</v>
      </c>
      <c r="M6" s="26"/>
    </row>
    <row r="7" spans="1:13" x14ac:dyDescent="0.25">
      <c r="A7" s="5" t="s">
        <v>38</v>
      </c>
      <c r="B7" s="4" t="s">
        <v>22</v>
      </c>
      <c r="C7" s="4" t="s">
        <v>23</v>
      </c>
      <c r="D7" s="4" t="s">
        <v>190</v>
      </c>
      <c r="E7" s="13" t="s">
        <v>21</v>
      </c>
      <c r="F7" s="14">
        <v>41.309795154259994</v>
      </c>
      <c r="G7" s="15">
        <v>0.63381584574000005</v>
      </c>
      <c r="H7" s="16">
        <v>41.943610999999997</v>
      </c>
      <c r="I7" s="17">
        <v>6.8824756909064005E-2</v>
      </c>
      <c r="J7" s="18">
        <v>2.43090090936E-4</v>
      </c>
      <c r="K7" s="19">
        <v>6.9067847000000002E-2</v>
      </c>
    </row>
    <row r="8" spans="1:13" x14ac:dyDescent="0.25">
      <c r="A8" s="5" t="s">
        <v>39</v>
      </c>
      <c r="B8" s="4" t="s">
        <v>24</v>
      </c>
      <c r="C8" s="4" t="s">
        <v>53</v>
      </c>
      <c r="D8" s="4" t="s">
        <v>189</v>
      </c>
      <c r="E8" s="13" t="s">
        <v>21</v>
      </c>
      <c r="F8" s="14">
        <v>41.833071689000001</v>
      </c>
      <c r="G8" s="15">
        <v>2.8427323109999998</v>
      </c>
      <c r="H8" s="31">
        <v>44.675803999999999</v>
      </c>
      <c r="I8" s="17">
        <v>1.9334721442000002E-2</v>
      </c>
      <c r="J8" s="18">
        <v>1.7491355579999999E-3</v>
      </c>
      <c r="K8" s="29">
        <v>2.1083857000000001E-2</v>
      </c>
    </row>
    <row r="9" spans="1:13" x14ac:dyDescent="0.25">
      <c r="A9" s="5" t="s">
        <v>40</v>
      </c>
      <c r="B9" s="4" t="s">
        <v>25</v>
      </c>
      <c r="C9" s="4" t="s">
        <v>54</v>
      </c>
      <c r="D9" s="4" t="s">
        <v>191</v>
      </c>
      <c r="E9" s="13" t="s">
        <v>21</v>
      </c>
      <c r="F9" s="14">
        <v>30.027383818999997</v>
      </c>
      <c r="G9" s="15">
        <v>2.8203461810000001</v>
      </c>
      <c r="H9" s="31">
        <v>32.847729999999999</v>
      </c>
      <c r="I9" s="17">
        <v>1.33588220432E-2</v>
      </c>
      <c r="J9" s="18">
        <v>1.8982819568000001E-3</v>
      </c>
      <c r="K9" s="29">
        <v>1.5257104E-2</v>
      </c>
    </row>
    <row r="10" spans="1:13" x14ac:dyDescent="0.25">
      <c r="A10" s="5" t="s">
        <v>41</v>
      </c>
      <c r="B10" s="4" t="s">
        <v>26</v>
      </c>
      <c r="C10" s="4" t="s">
        <v>27</v>
      </c>
      <c r="D10" s="4" t="s">
        <v>192</v>
      </c>
      <c r="E10" s="13" t="s">
        <v>21</v>
      </c>
      <c r="F10" s="14">
        <v>27.432979353099999</v>
      </c>
      <c r="G10" s="15">
        <v>1.3825646468999999</v>
      </c>
      <c r="H10" s="16">
        <v>28.815543999999999</v>
      </c>
      <c r="I10" s="17">
        <v>1.2219239738500001E-2</v>
      </c>
      <c r="J10" s="18">
        <v>9.8775726149999995E-4</v>
      </c>
      <c r="K10" s="29">
        <v>1.3206997E-2</v>
      </c>
      <c r="M10" s="26"/>
    </row>
    <row r="11" spans="1:13" x14ac:dyDescent="0.25">
      <c r="A11" s="5" t="s">
        <v>42</v>
      </c>
      <c r="B11" s="4" t="s">
        <v>28</v>
      </c>
      <c r="C11" s="4" t="s">
        <v>29</v>
      </c>
      <c r="D11" s="4" t="s">
        <v>193</v>
      </c>
      <c r="E11" s="13" t="s">
        <v>21</v>
      </c>
      <c r="F11" s="14">
        <v>28.937908353099999</v>
      </c>
      <c r="G11" s="15">
        <v>1.3825646468999999</v>
      </c>
      <c r="H11" s="16">
        <v>30.320473</v>
      </c>
      <c r="I11" s="17">
        <v>1.2173840738500001E-2</v>
      </c>
      <c r="J11" s="18">
        <v>9.8775726149999995E-4</v>
      </c>
      <c r="K11" s="19">
        <v>1.3161598E-2</v>
      </c>
      <c r="M11" s="26"/>
    </row>
    <row r="12" spans="1:13" x14ac:dyDescent="0.25">
      <c r="A12" s="5"/>
      <c r="B12" s="4"/>
      <c r="C12" s="4" t="s">
        <v>55</v>
      </c>
      <c r="D12" s="4" t="s">
        <v>194</v>
      </c>
      <c r="E12" s="13" t="s">
        <v>21</v>
      </c>
      <c r="F12" s="14">
        <v>5.6100669532500014</v>
      </c>
      <c r="G12" s="15">
        <v>20.72881804675</v>
      </c>
      <c r="H12" s="16">
        <v>26.338885000000001</v>
      </c>
      <c r="I12" s="17">
        <v>1.6843608574999992E-3</v>
      </c>
      <c r="J12" s="18">
        <v>9.0850991425000006E-3</v>
      </c>
      <c r="K12" s="19">
        <v>1.076946E-2</v>
      </c>
    </row>
    <row r="13" spans="1:13" x14ac:dyDescent="0.25">
      <c r="A13" s="5" t="s">
        <v>43</v>
      </c>
      <c r="B13" s="4" t="s">
        <v>30</v>
      </c>
      <c r="C13" s="4" t="s">
        <v>31</v>
      </c>
      <c r="D13" s="4" t="s">
        <v>195</v>
      </c>
      <c r="E13" s="13" t="s">
        <v>21</v>
      </c>
      <c r="F13" s="14"/>
      <c r="G13" s="15"/>
      <c r="H13" s="16">
        <v>25.258025</v>
      </c>
      <c r="I13" s="17"/>
      <c r="J13" s="18"/>
      <c r="K13" s="19">
        <v>3.0063146999999998E-2</v>
      </c>
    </row>
    <row r="14" spans="1:13" x14ac:dyDescent="0.25">
      <c r="A14" s="5" t="s">
        <v>44</v>
      </c>
      <c r="B14" s="4" t="s">
        <v>32</v>
      </c>
      <c r="C14" s="4" t="s">
        <v>33</v>
      </c>
      <c r="D14" s="4" t="s">
        <v>196</v>
      </c>
      <c r="E14" s="13" t="s">
        <v>21</v>
      </c>
      <c r="F14" s="14"/>
      <c r="G14" s="15"/>
      <c r="H14" s="16">
        <v>2.2070409</v>
      </c>
      <c r="I14" s="17"/>
      <c r="J14" s="18"/>
      <c r="K14" s="19">
        <v>9.4142797000000002E-4</v>
      </c>
    </row>
    <row r="15" spans="1:13" x14ac:dyDescent="0.25">
      <c r="A15" s="5" t="s">
        <v>45</v>
      </c>
      <c r="B15" s="4" t="s">
        <v>34</v>
      </c>
      <c r="C15" s="4" t="s">
        <v>35</v>
      </c>
      <c r="D15" s="4" t="s">
        <v>197</v>
      </c>
      <c r="E15" s="13" t="s">
        <v>21</v>
      </c>
      <c r="F15" s="14"/>
      <c r="G15" s="15"/>
      <c r="H15" s="16">
        <v>28.686575999999999</v>
      </c>
      <c r="I15" s="17"/>
      <c r="J15" s="18"/>
      <c r="K15" s="19">
        <v>1.2097092E-2</v>
      </c>
    </row>
    <row r="16" spans="1:13" x14ac:dyDescent="0.25">
      <c r="A16" s="5" t="s">
        <v>46</v>
      </c>
      <c r="B16" s="4" t="s">
        <v>36</v>
      </c>
      <c r="C16" s="23" t="s">
        <v>48</v>
      </c>
      <c r="D16" s="4" t="s">
        <v>198</v>
      </c>
      <c r="E16" s="24" t="s">
        <v>21</v>
      </c>
      <c r="F16" s="5"/>
      <c r="G16" s="4"/>
      <c r="H16" s="16">
        <v>13.024449000000001</v>
      </c>
      <c r="I16" s="5"/>
      <c r="J16" s="4"/>
      <c r="K16" s="19">
        <v>3.9850896999999996E-3</v>
      </c>
    </row>
    <row r="17" spans="1:11" x14ac:dyDescent="0.25">
      <c r="A17" s="5" t="s">
        <v>49</v>
      </c>
      <c r="B17" s="4" t="s">
        <v>50</v>
      </c>
      <c r="C17" s="32" t="s">
        <v>51</v>
      </c>
      <c r="D17" s="4" t="s">
        <v>199</v>
      </c>
      <c r="E17" s="24" t="s">
        <v>21</v>
      </c>
      <c r="F17" s="5"/>
      <c r="G17" s="4"/>
      <c r="H17" s="16">
        <v>105.83618</v>
      </c>
      <c r="I17" s="5"/>
      <c r="J17" s="4"/>
      <c r="K17" s="19">
        <v>3.8484933999999998E-2</v>
      </c>
    </row>
    <row r="18" spans="1:11" x14ac:dyDescent="0.25">
      <c r="A18" s="22"/>
      <c r="B18" s="20" t="s">
        <v>47</v>
      </c>
      <c r="C18" s="20" t="s">
        <v>56</v>
      </c>
      <c r="D18" s="33" t="s">
        <v>200</v>
      </c>
      <c r="E18" s="25" t="s">
        <v>21</v>
      </c>
      <c r="F18" s="22"/>
      <c r="G18" s="20"/>
      <c r="H18" s="34">
        <v>122.43467</v>
      </c>
      <c r="I18" s="35"/>
      <c r="J18" s="36"/>
      <c r="K18" s="37">
        <v>4.0579196999999997E-2</v>
      </c>
    </row>
    <row r="19" spans="1:11" x14ac:dyDescent="0.25">
      <c r="A19" s="4"/>
      <c r="B19" s="4"/>
      <c r="C19" s="4"/>
      <c r="D19" s="4"/>
      <c r="E19" s="4"/>
      <c r="F19" s="4"/>
      <c r="G19" s="4"/>
      <c r="H19" s="23"/>
      <c r="I19" s="23"/>
      <c r="J19" s="23"/>
      <c r="K19" s="23"/>
    </row>
    <row r="20" spans="1:11" x14ac:dyDescent="0.25">
      <c r="A20" s="4"/>
      <c r="B20" s="4"/>
      <c r="C20" s="4"/>
      <c r="D20" s="4"/>
      <c r="E20" s="4"/>
      <c r="F20" s="4"/>
      <c r="G20" s="4"/>
      <c r="H20" s="4"/>
      <c r="I20" s="4"/>
      <c r="J20" s="4"/>
      <c r="K20" s="4"/>
    </row>
    <row r="22" spans="1:11" x14ac:dyDescent="0.25">
      <c r="D22" s="2" t="s">
        <v>201</v>
      </c>
    </row>
    <row r="23" spans="1:11" x14ac:dyDescent="0.25">
      <c r="D23" s="26" t="s">
        <v>198</v>
      </c>
      <c r="H23" s="30">
        <f>H$8-H$17*0.35712+H16*0.35712</f>
        <v>11.530878625279998</v>
      </c>
      <c r="K23" s="30">
        <f>K$8-K$17*0.35712+K16*0.35712</f>
        <v>8.7632726035840013E-3</v>
      </c>
    </row>
    <row r="24" spans="1:11" x14ac:dyDescent="0.25">
      <c r="D24" t="s">
        <v>199</v>
      </c>
      <c r="H24" s="28">
        <f>H$8-H$17*0.35712+H17*0.35712</f>
        <v>44.675803999999999</v>
      </c>
      <c r="K24" s="28">
        <f>K$8-K$17*0.35712+K17*0.35712</f>
        <v>2.1083857000000001E-2</v>
      </c>
    </row>
    <row r="25" spans="1:11" x14ac:dyDescent="0.25">
      <c r="D25" t="s">
        <v>200</v>
      </c>
      <c r="H25" s="28">
        <f>H$8-H$17*0.35712+H18*0.35712</f>
        <v>50.603456748799999</v>
      </c>
      <c r="K25" s="28">
        <f>K$8-K$17*0.35712+K18*0.35712</f>
        <v>2.1831760202560002E-2</v>
      </c>
    </row>
    <row r="26" spans="1:11" x14ac:dyDescent="0.25">
      <c r="H26" s="28"/>
      <c r="K26" s="28"/>
    </row>
    <row r="27" spans="1:11" x14ac:dyDescent="0.25">
      <c r="H27" s="28"/>
      <c r="K27" s="28"/>
    </row>
    <row r="28" spans="1:11" x14ac:dyDescent="0.25">
      <c r="D28" s="2" t="s">
        <v>202</v>
      </c>
    </row>
    <row r="29" spans="1:11" x14ac:dyDescent="0.25">
      <c r="D29" s="26" t="s">
        <v>198</v>
      </c>
      <c r="H29" s="30">
        <f>H$9-H$17*0.0712*3.6+H16*0.0712*3.6</f>
        <v>9.0582271100799989</v>
      </c>
      <c r="K29" s="30">
        <f>K$9-K$17*0.0712*3.6+K16*0.0712*3.6</f>
        <v>6.4141039090240019E-3</v>
      </c>
    </row>
    <row r="30" spans="1:11" x14ac:dyDescent="0.25">
      <c r="D30" t="s">
        <v>199</v>
      </c>
      <c r="H30" s="30">
        <f>H$9-H$17*0.0712*3.6+H17*0.0712*3.6</f>
        <v>32.847729999999999</v>
      </c>
      <c r="K30" s="30">
        <f>K$9-K$17*0.0712*3.6+K17*0.0712*3.6</f>
        <v>1.5257104E-2</v>
      </c>
    </row>
    <row r="31" spans="1:11" x14ac:dyDescent="0.25">
      <c r="D31" t="s">
        <v>200</v>
      </c>
      <c r="H31" s="30">
        <f>H$9-H$17*0.0712*3.6+H18*0.0712*3.6</f>
        <v>37.102254956799996</v>
      </c>
      <c r="K31" s="30">
        <f>K$9-K$17*0.0712*3.6+K18*0.0712*3.6</f>
        <v>1.5793905492160001E-2</v>
      </c>
    </row>
  </sheetData>
  <sheetProtection password="9EBD" sheet="1" objects="1" scenarios="1"/>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J20"/>
  <sheetViews>
    <sheetView workbookViewId="0">
      <selection activeCell="A7" sqref="A7"/>
    </sheetView>
  </sheetViews>
  <sheetFormatPr baseColWidth="10" defaultColWidth="9.109375" defaultRowHeight="13.2" x14ac:dyDescent="0.25"/>
  <cols>
    <col min="1" max="1" width="19.88671875" customWidth="1"/>
    <col min="2" max="6" width="9.6640625" customWidth="1"/>
    <col min="7" max="7" width="11.5546875" bestFit="1" customWidth="1"/>
    <col min="8" max="10" width="9.6640625" customWidth="1"/>
    <col min="11" max="256" width="11.44140625" customWidth="1"/>
  </cols>
  <sheetData>
    <row r="2" spans="1:10" x14ac:dyDescent="0.25">
      <c r="A2" s="6"/>
      <c r="B2" s="6" t="s">
        <v>80</v>
      </c>
      <c r="C2" s="6" t="s">
        <v>81</v>
      </c>
      <c r="D2" s="6" t="s">
        <v>213</v>
      </c>
      <c r="E2" s="6" t="s">
        <v>85</v>
      </c>
      <c r="F2" s="7" t="s">
        <v>83</v>
      </c>
      <c r="G2" s="7" t="s">
        <v>214</v>
      </c>
      <c r="H2" s="7" t="s">
        <v>215</v>
      </c>
      <c r="I2" s="8" t="s">
        <v>216</v>
      </c>
      <c r="J2" s="38" t="s">
        <v>84</v>
      </c>
    </row>
    <row r="3" spans="1:10" x14ac:dyDescent="0.25">
      <c r="A3" s="27" t="s">
        <v>96</v>
      </c>
      <c r="B3" s="9">
        <f>'Comparaison des coûts'!D82</f>
        <v>1621.0981591323032</v>
      </c>
      <c r="C3" s="9">
        <f>'Comparaison des coûts'!E82</f>
        <v>1201.2804841930845</v>
      </c>
      <c r="D3" s="9">
        <f>'Comparaison des coûts'!F82</f>
        <v>1989.7763474688991</v>
      </c>
      <c r="E3" s="9">
        <f>'Comparaison des coûts'!G82</f>
        <v>1759.2757709282109</v>
      </c>
      <c r="F3" s="9">
        <f>'Comparaison des coûts'!H82</f>
        <v>1815.2925220313709</v>
      </c>
      <c r="G3" s="9">
        <f>'Comparaison des coûts'!I82</f>
        <v>2317.0029324962234</v>
      </c>
      <c r="H3" s="9">
        <f>'Comparaison des coûts'!J82</f>
        <v>2061.0779972318674</v>
      </c>
      <c r="I3" s="9">
        <f>'Comparaison des coûts'!K82</f>
        <v>1624.2877805220724</v>
      </c>
      <c r="J3" s="9">
        <f>'Comparaison des coûts'!L82</f>
        <v>0</v>
      </c>
    </row>
    <row r="4" spans="1:10" x14ac:dyDescent="0.25">
      <c r="A4" s="27" t="s">
        <v>172</v>
      </c>
      <c r="B4" s="9">
        <f>'Comparaison des coûts'!D110</f>
        <v>1348.794942</v>
      </c>
      <c r="C4" s="9">
        <f>'Comparaison des coûts'!E110</f>
        <v>1342.5133182831685</v>
      </c>
      <c r="D4" s="9">
        <f>'Comparaison des coûts'!F110</f>
        <v>742.76242676470588</v>
      </c>
      <c r="E4" s="9">
        <f>'Comparaison des coûts'!G110</f>
        <v>929.76625038461543</v>
      </c>
      <c r="F4" s="9">
        <f>'Comparaison des coûts'!H110</f>
        <v>1406.1560777392122</v>
      </c>
      <c r="G4" s="9">
        <f>'Comparaison des coûts'!I110</f>
        <v>1145.9248621913696</v>
      </c>
      <c r="H4" s="9">
        <f>'Comparaison des coûts'!J110</f>
        <v>1179.1744323397959</v>
      </c>
      <c r="I4" s="9">
        <f>'Comparaison des coûts'!K110</f>
        <v>1207.1363205406931</v>
      </c>
      <c r="J4" s="9">
        <f>'Comparaison des coûts'!L110</f>
        <v>0</v>
      </c>
    </row>
    <row r="5" spans="1:10" x14ac:dyDescent="0.25">
      <c r="A5" s="27" t="s">
        <v>98</v>
      </c>
      <c r="B5" s="9">
        <f>'Comparaison des coûts'!D111</f>
        <v>746.18172000000004</v>
      </c>
      <c r="C5" s="9">
        <f>'Comparaison des coûts'!E111</f>
        <v>367</v>
      </c>
      <c r="D5" s="9">
        <f>'Comparaison des coûts'!F111</f>
        <v>100</v>
      </c>
      <c r="E5" s="9">
        <f>'Comparaison des coûts'!G111</f>
        <v>200</v>
      </c>
      <c r="F5" s="9">
        <f>'Comparaison des coûts'!H111</f>
        <v>717.01678424015006</v>
      </c>
      <c r="G5" s="9">
        <f>'Comparaison des coûts'!I111</f>
        <v>711.61342739212012</v>
      </c>
      <c r="H5" s="9">
        <f>'Comparaison des coûts'!J111</f>
        <v>742.48154834693878</v>
      </c>
      <c r="I5" s="9">
        <f>'Comparaison des coûts'!K111</f>
        <v>367</v>
      </c>
      <c r="J5" s="9">
        <f>'Comparaison des coûts'!L111</f>
        <v>0</v>
      </c>
    </row>
    <row r="6" spans="1:10" x14ac:dyDescent="0.25">
      <c r="A6" s="27" t="s">
        <v>233</v>
      </c>
      <c r="B6" s="9">
        <f>'Comparaison des coûts'!D120</f>
        <v>302.24177567999999</v>
      </c>
      <c r="C6" s="9">
        <f>'Comparaison des coûts'!E120</f>
        <v>226.43627086079997</v>
      </c>
      <c r="D6" s="9">
        <f>'Comparaison des coûts'!F120</f>
        <v>0</v>
      </c>
      <c r="E6" s="9">
        <f>'Comparaison des coûts'!G120</f>
        <v>0</v>
      </c>
      <c r="F6" s="9">
        <f>'Comparaison des coûts'!H120</f>
        <v>0</v>
      </c>
      <c r="G6" s="9">
        <f>'Comparaison des coûts'!I120</f>
        <v>0</v>
      </c>
      <c r="H6" s="9">
        <f>'Comparaison des coûts'!J120</f>
        <v>259.52699411706124</v>
      </c>
      <c r="I6" s="9">
        <f>'Comparaison des coûts'!K120</f>
        <v>192.47083023168</v>
      </c>
      <c r="J6" s="9">
        <f>'Comparaison des coûts'!L120</f>
        <v>0</v>
      </c>
    </row>
    <row r="7" spans="1:10" x14ac:dyDescent="0.25">
      <c r="A7" s="27" t="s">
        <v>100</v>
      </c>
      <c r="B7" s="9">
        <f>'Comparaison des coûts'!D122</f>
        <v>654.54300000000001</v>
      </c>
      <c r="C7" s="9">
        <f>'Comparaison des coûts'!E122</f>
        <v>431.99838000000005</v>
      </c>
      <c r="D7" s="9">
        <f>'Comparaison des coûts'!F122</f>
        <v>211.76391176470588</v>
      </c>
      <c r="E7" s="9">
        <f>'Comparaison des coûts'!G122</f>
        <v>276.92203846153842</v>
      </c>
      <c r="F7" s="9">
        <f>'Comparaison des coûts'!H122</f>
        <v>263.41364634146339</v>
      </c>
      <c r="G7" s="9">
        <f>'Comparaison des coûts'!I122</f>
        <v>210.73091707317076</v>
      </c>
      <c r="H7" s="9">
        <f>'Comparaison des coûts'!J122</f>
        <v>562.03870867346939</v>
      </c>
      <c r="I7" s="9">
        <f>'Comparaison des coûts'!K122</f>
        <v>367.198623</v>
      </c>
      <c r="J7" s="9">
        <f>'Comparaison des coûts'!L122</f>
        <v>259.199028</v>
      </c>
    </row>
    <row r="8" spans="1:10" x14ac:dyDescent="0.25">
      <c r="J8" s="3"/>
    </row>
    <row r="9" spans="1:10" x14ac:dyDescent="0.25">
      <c r="J9" s="1"/>
    </row>
    <row r="10" spans="1:10" x14ac:dyDescent="0.25">
      <c r="J10" s="3"/>
    </row>
    <row r="17" spans="2:6" x14ac:dyDescent="0.25">
      <c r="B17" s="26" t="s">
        <v>104</v>
      </c>
      <c r="C17" s="26" t="s">
        <v>83</v>
      </c>
      <c r="D17" s="26" t="s">
        <v>84</v>
      </c>
      <c r="F17" t="s">
        <v>205</v>
      </c>
    </row>
    <row r="18" spans="2:6" x14ac:dyDescent="0.25">
      <c r="B18" s="26" t="s">
        <v>206</v>
      </c>
      <c r="C18" s="26" t="s">
        <v>207</v>
      </c>
      <c r="D18" s="26" t="s">
        <v>208</v>
      </c>
    </row>
    <row r="19" spans="2:6" x14ac:dyDescent="0.25">
      <c r="B19" s="26" t="s">
        <v>209</v>
      </c>
      <c r="C19" s="26" t="s">
        <v>210</v>
      </c>
      <c r="D19" s="26" t="s">
        <v>211</v>
      </c>
    </row>
    <row r="20" spans="2:6" x14ac:dyDescent="0.25">
      <c r="B20" s="26"/>
      <c r="D20" s="26" t="s">
        <v>212</v>
      </c>
    </row>
  </sheetData>
  <sheetProtection algorithmName="SHA-512" hashValue="CWcoBxtaw+8Hih8qpf8uN4mPc1iSOMoVwlaf49WfTvhd9dUyoZ702GNdXGBJg/VsxObBN2elBai+tYfrzGPBJA==" saltValue="4YqIe5ISL8FS5ju48RBP8g==" spinCount="100000" sheet="1" objects="1" scenarios="1"/>
  <phoneticPr fontId="6" type="noConversion"/>
  <printOptions gridLines="1" gridLinesSet="0"/>
  <pageMargins left="0.75" right="0.75" top="1" bottom="1" header="0.51181102300000003" footer="0.51181102300000003"/>
  <pageSetup paperSize="9" orientation="portrait" verticalDpi="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b81115e-e38c-467c-b2e3-c6b8d2e96873">
      <UserInfo>
        <DisplayName>Meili Christoph</DisplayName>
        <AccountId>35</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2536683806C9242AFB1372EB461774B" ma:contentTypeVersion="10" ma:contentTypeDescription="Create a new document." ma:contentTypeScope="" ma:versionID="929bf727e4851821d6a727112e31f311">
  <xsd:schema xmlns:xsd="http://www.w3.org/2001/XMLSchema" xmlns:xs="http://www.w3.org/2001/XMLSchema" xmlns:p="http://schemas.microsoft.com/office/2006/metadata/properties" xmlns:ns2="ecfef537-1e15-4e45-bf31-20fa3a1af5a8" xmlns:ns3="cb81115e-e38c-467c-b2e3-c6b8d2e96873" targetNamespace="http://schemas.microsoft.com/office/2006/metadata/properties" ma:root="true" ma:fieldsID="bd6aa1f9dd4dcaa4cca342fd03aef337" ns2:_="" ns3:_="">
    <xsd:import namespace="ecfef537-1e15-4e45-bf31-20fa3a1af5a8"/>
    <xsd:import namespace="cb81115e-e38c-467c-b2e3-c6b8d2e9687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fef537-1e15-4e45-bf31-20fa3a1af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81115e-e38c-467c-b2e3-c6b8d2e96873"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C84B24-C7EB-4EA8-996B-A13D8CE5B25C}">
  <ds:schemaRefs>
    <ds:schemaRef ds:uri="cb81115e-e38c-467c-b2e3-c6b8d2e9687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cfef537-1e15-4e45-bf31-20fa3a1af5a8"/>
    <ds:schemaRef ds:uri="http://www.w3.org/XML/1998/namespace"/>
    <ds:schemaRef ds:uri="http://purl.org/dc/dcmitype/"/>
  </ds:schemaRefs>
</ds:datastoreItem>
</file>

<file path=customXml/itemProps2.xml><?xml version="1.0" encoding="utf-8"?>
<ds:datastoreItem xmlns:ds="http://schemas.openxmlformats.org/officeDocument/2006/customXml" ds:itemID="{0D3ACEB9-14B3-4D9C-9798-242AE56869C7}"/>
</file>

<file path=customXml/itemProps3.xml><?xml version="1.0" encoding="utf-8"?>
<ds:datastoreItem xmlns:ds="http://schemas.openxmlformats.org/officeDocument/2006/customXml" ds:itemID="{A68E1225-13A9-4A9A-8754-731EE596BF5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4</vt:i4>
      </vt:variant>
    </vt:vector>
  </HeadingPairs>
  <TitlesOfParts>
    <vt:vector size="7" baseType="lpstr">
      <vt:lpstr>Comparaison des coûts</vt:lpstr>
      <vt:lpstr>Valeurs environnementales clés</vt:lpstr>
      <vt:lpstr>illustration</vt:lpstr>
      <vt:lpstr>'Comparaison des coûts'!Druckbereich</vt:lpstr>
      <vt:lpstr>Fernwärme</vt:lpstr>
      <vt:lpstr>Pellet</vt:lpstr>
      <vt:lpstr>Strommix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2015-06-05T11:18:21Z</dcterms:created>
  <dcterms:modified xsi:type="dcterms:W3CDTF">2019-05-20T13:48:35Z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0x01010062536683806C9242AFB1372EB461774B</vt:lpwstr>
  </property>
  <property fmtid="{D5CDD505-2E9C-101B-9397-08002B2CF9AE}" pid="3" name="Order">
    <vt:r8>1067800</vt:r8>
  </property>
</Properties>
</file>