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filterPrivacy="1"/>
  <xr:revisionPtr revIDLastSave="34" documentId="8_{E17DE07C-B1F1-4657-9435-3038724B8C4A}" xr6:coauthVersionLast="41" xr6:coauthVersionMax="41" xr10:uidLastSave="{452F0F99-DEBA-433D-8C96-8152E43BBAE7}"/>
  <bookViews>
    <workbookView xWindow="-108" yWindow="-108" windowWidth="23256" windowHeight="12720" tabRatio="647" xr2:uid="{00000000-000D-0000-FFFF-FFFF00000000}"/>
  </bookViews>
  <sheets>
    <sheet name="Kosten- &amp; Umweltbilanz" sheetId="1" r:id="rId1"/>
    <sheet name="Umweltkennwerte" sheetId="3" r:id="rId2"/>
    <sheet name="Grafik" sheetId="2" state="hidden" r:id="rId3"/>
  </sheets>
  <definedNames>
    <definedName name="_xlnm.Print_Area" localSheetId="0">'Kosten- &amp; Umweltbilanz'!$A$1:$N$152</definedName>
    <definedName name="Fernwärme">Grafik!$D$18:$D$20</definedName>
    <definedName name="Pellet">Grafik!$C$18:$C$19</definedName>
    <definedName name="Strommix">Grafik!$B$18:$B$19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99" i="1" l="1"/>
  <c r="F99" i="1"/>
  <c r="G99" i="1"/>
  <c r="H99" i="1"/>
  <c r="I99" i="1"/>
  <c r="J99" i="1"/>
  <c r="K99" i="1"/>
  <c r="L99" i="1"/>
  <c r="D99" i="1"/>
  <c r="I42" i="1" l="1"/>
  <c r="E42" i="1"/>
  <c r="D42" i="1"/>
  <c r="E25" i="1"/>
  <c r="F25" i="1"/>
  <c r="G25" i="1"/>
  <c r="H25" i="1"/>
  <c r="I25" i="1"/>
  <c r="J25" i="1"/>
  <c r="K25" i="1"/>
  <c r="L25" i="1"/>
  <c r="D25" i="1"/>
  <c r="E20" i="1" l="1"/>
  <c r="L45" i="1" l="1"/>
  <c r="H44" i="1"/>
  <c r="F44" i="1"/>
  <c r="G45" i="1"/>
  <c r="I44" i="1"/>
  <c r="H45" i="1"/>
  <c r="F45" i="1"/>
  <c r="I45" i="1"/>
  <c r="G44" i="1"/>
  <c r="L29" i="1"/>
  <c r="L95" i="1" l="1"/>
  <c r="K104" i="1" l="1"/>
  <c r="L104" i="1"/>
  <c r="J6" i="2" l="1"/>
  <c r="G6" i="2"/>
  <c r="F6" i="2"/>
  <c r="E6" i="2"/>
  <c r="D6" i="2"/>
  <c r="K31" i="3"/>
  <c r="H31" i="3"/>
  <c r="K30" i="3"/>
  <c r="H30" i="3"/>
  <c r="K29" i="3"/>
  <c r="H29" i="3"/>
  <c r="K25" i="3"/>
  <c r="H25" i="3"/>
  <c r="K24" i="3"/>
  <c r="H24" i="3"/>
  <c r="K23" i="3"/>
  <c r="H23" i="3"/>
  <c r="L105" i="1"/>
  <c r="L110" i="1" s="1"/>
  <c r="L28" i="1" s="1"/>
  <c r="K105" i="1"/>
  <c r="K110" i="1" s="1"/>
  <c r="G105" i="1"/>
  <c r="G110" i="1" s="1"/>
  <c r="E5" i="2" s="1"/>
  <c r="F105" i="1"/>
  <c r="F110" i="1" s="1"/>
  <c r="E105" i="1"/>
  <c r="E110" i="1" s="1"/>
  <c r="G93" i="1"/>
  <c r="F93" i="1"/>
  <c r="L90" i="1"/>
  <c r="K90" i="1"/>
  <c r="J90" i="1"/>
  <c r="I90" i="1"/>
  <c r="H90" i="1"/>
  <c r="G90" i="1"/>
  <c r="F90" i="1"/>
  <c r="E90" i="1"/>
  <c r="D90" i="1"/>
  <c r="K88" i="1"/>
  <c r="E88" i="1"/>
  <c r="L84" i="1"/>
  <c r="K84" i="1"/>
  <c r="J84" i="1"/>
  <c r="I84" i="1"/>
  <c r="H84" i="1"/>
  <c r="G84" i="1"/>
  <c r="F84" i="1"/>
  <c r="E84" i="1"/>
  <c r="D84" i="1"/>
  <c r="L78" i="1"/>
  <c r="K78" i="1"/>
  <c r="J78" i="1"/>
  <c r="I78" i="1"/>
  <c r="H78" i="1"/>
  <c r="G78" i="1"/>
  <c r="F78" i="1"/>
  <c r="E78" i="1"/>
  <c r="D78" i="1"/>
  <c r="L51" i="1"/>
  <c r="K51" i="1"/>
  <c r="J51" i="1"/>
  <c r="I51" i="1"/>
  <c r="H51" i="1"/>
  <c r="G51" i="1"/>
  <c r="F51" i="1"/>
  <c r="E51" i="1"/>
  <c r="D51" i="1"/>
  <c r="H42" i="1"/>
  <c r="G42" i="1"/>
  <c r="F42" i="1"/>
  <c r="C33" i="1"/>
  <c r="B33" i="1"/>
  <c r="A33" i="1"/>
  <c r="B31" i="1"/>
  <c r="A31" i="1"/>
  <c r="B30" i="1"/>
  <c r="A30" i="1"/>
  <c r="I29" i="1"/>
  <c r="H29" i="1"/>
  <c r="G29" i="1"/>
  <c r="F29" i="1"/>
  <c r="A29" i="1"/>
  <c r="B28" i="1"/>
  <c r="A28" i="1"/>
  <c r="B27" i="1"/>
  <c r="A27" i="1"/>
  <c r="B26" i="1"/>
  <c r="A26" i="1"/>
  <c r="C25" i="1"/>
  <c r="B25" i="1"/>
  <c r="I52" i="1"/>
  <c r="E79" i="1" l="1"/>
  <c r="E80" i="1" s="1"/>
  <c r="E81" i="1" s="1"/>
  <c r="I79" i="1"/>
  <c r="I80" i="1" s="1"/>
  <c r="I81" i="1" s="1"/>
  <c r="F79" i="1"/>
  <c r="F80" i="1" s="1"/>
  <c r="F81" i="1" s="1"/>
  <c r="J79" i="1"/>
  <c r="J80" i="1" s="1"/>
  <c r="J81" i="1" s="1"/>
  <c r="G79" i="1"/>
  <c r="G80" i="1" s="1"/>
  <c r="G81" i="1" s="1"/>
  <c r="K79" i="1"/>
  <c r="K80" i="1" s="1"/>
  <c r="K81" i="1" s="1"/>
  <c r="D79" i="1"/>
  <c r="D80" i="1" s="1"/>
  <c r="D81" i="1" s="1"/>
  <c r="H79" i="1"/>
  <c r="H80" i="1" s="1"/>
  <c r="H81" i="1" s="1"/>
  <c r="L79" i="1"/>
  <c r="L80" i="1" s="1"/>
  <c r="L81" i="1" s="1"/>
  <c r="I94" i="1"/>
  <c r="I85" i="1"/>
  <c r="I121" i="1" s="1"/>
  <c r="G52" i="1"/>
  <c r="K20" i="1"/>
  <c r="K21" i="1" s="1"/>
  <c r="K44" i="1"/>
  <c r="J45" i="1"/>
  <c r="D52" i="1"/>
  <c r="L52" i="1"/>
  <c r="E44" i="1"/>
  <c r="D45" i="1"/>
  <c r="F52" i="1"/>
  <c r="J52" i="1"/>
  <c r="J44" i="1"/>
  <c r="E45" i="1"/>
  <c r="K52" i="1"/>
  <c r="H52" i="1"/>
  <c r="D44" i="1"/>
  <c r="L44" i="1"/>
  <c r="K45" i="1"/>
  <c r="E52" i="1"/>
  <c r="J5" i="2"/>
  <c r="C5" i="2"/>
  <c r="E28" i="1"/>
  <c r="D5" i="2"/>
  <c r="F28" i="1"/>
  <c r="G28" i="1"/>
  <c r="K28" i="1"/>
  <c r="I5" i="2"/>
  <c r="B3" i="2" l="1"/>
  <c r="D108" i="1"/>
  <c r="D26" i="1" s="1"/>
  <c r="F3" i="2"/>
  <c r="H108" i="1"/>
  <c r="H26" i="1" s="1"/>
  <c r="I3" i="2"/>
  <c r="K108" i="1"/>
  <c r="K26" i="1" s="1"/>
  <c r="I108" i="1"/>
  <c r="I26" i="1" s="1"/>
  <c r="G3" i="2"/>
  <c r="J108" i="1"/>
  <c r="J26" i="1" s="1"/>
  <c r="H3" i="2"/>
  <c r="G108" i="1"/>
  <c r="G26" i="1" s="1"/>
  <c r="E3" i="2"/>
  <c r="C3" i="2"/>
  <c r="E108" i="1"/>
  <c r="E26" i="1" s="1"/>
  <c r="J3" i="2"/>
  <c r="L108" i="1"/>
  <c r="L26" i="1" s="1"/>
  <c r="G92" i="1"/>
  <c r="G85" i="1"/>
  <c r="G121" i="1" s="1"/>
  <c r="G91" i="1"/>
  <c r="E89" i="1"/>
  <c r="E97" i="1" s="1"/>
  <c r="E109" i="1" s="1"/>
  <c r="E43" i="1"/>
  <c r="E119" i="1" s="1"/>
  <c r="C6" i="2" s="1"/>
  <c r="E85" i="1"/>
  <c r="E121" i="1" s="1"/>
  <c r="K85" i="1"/>
  <c r="K121" i="1" s="1"/>
  <c r="K43" i="1"/>
  <c r="K119" i="1" s="1"/>
  <c r="I6" i="2" s="1"/>
  <c r="K89" i="1"/>
  <c r="K97" i="1" s="1"/>
  <c r="K109" i="1" s="1"/>
  <c r="L96" i="1"/>
  <c r="L97" i="1" s="1"/>
  <c r="L109" i="1" s="1"/>
  <c r="L27" i="1" s="1"/>
  <c r="L85" i="1"/>
  <c r="L121" i="1" s="1"/>
  <c r="L30" i="1" s="1"/>
  <c r="J87" i="1"/>
  <c r="J85" i="1"/>
  <c r="J121" i="1" s="1"/>
  <c r="J43" i="1"/>
  <c r="J119" i="1" s="1"/>
  <c r="J29" i="1" s="1"/>
  <c r="D43" i="1"/>
  <c r="D119" i="1" s="1"/>
  <c r="D29" i="1" s="1"/>
  <c r="D85" i="1"/>
  <c r="D121" i="1" s="1"/>
  <c r="D87" i="1"/>
  <c r="I30" i="1"/>
  <c r="G7" i="2"/>
  <c r="E29" i="1"/>
  <c r="H94" i="1"/>
  <c r="H85" i="1"/>
  <c r="H121" i="1" s="1"/>
  <c r="F92" i="1"/>
  <c r="F85" i="1"/>
  <c r="F121" i="1" s="1"/>
  <c r="F91" i="1"/>
  <c r="I104" i="1"/>
  <c r="I105" i="1" s="1"/>
  <c r="I110" i="1" s="1"/>
  <c r="I97" i="1"/>
  <c r="I109" i="1" s="1"/>
  <c r="D3" i="2"/>
  <c r="F108" i="1"/>
  <c r="H6" i="2" l="1"/>
  <c r="L111" i="1"/>
  <c r="L118" i="1" s="1"/>
  <c r="L123" i="1" s="1"/>
  <c r="L31" i="1" s="1"/>
  <c r="K29" i="1"/>
  <c r="B6" i="2"/>
  <c r="G97" i="1"/>
  <c r="G109" i="1" s="1"/>
  <c r="G111" i="1" s="1"/>
  <c r="G114" i="1" s="1"/>
  <c r="F97" i="1"/>
  <c r="F109" i="1" s="1"/>
  <c r="D4" i="2" s="1"/>
  <c r="D104" i="1"/>
  <c r="D105" i="1" s="1"/>
  <c r="D110" i="1" s="1"/>
  <c r="D97" i="1"/>
  <c r="D109" i="1" s="1"/>
  <c r="H7" i="2"/>
  <c r="J30" i="1"/>
  <c r="B7" i="2"/>
  <c r="D30" i="1"/>
  <c r="J104" i="1"/>
  <c r="J105" i="1" s="1"/>
  <c r="J110" i="1" s="1"/>
  <c r="J97" i="1"/>
  <c r="J109" i="1" s="1"/>
  <c r="J4" i="2"/>
  <c r="E30" i="1"/>
  <c r="C7" i="2"/>
  <c r="E7" i="2"/>
  <c r="G30" i="1"/>
  <c r="F30" i="1"/>
  <c r="D7" i="2"/>
  <c r="F7" i="2"/>
  <c r="H30" i="1"/>
  <c r="I4" i="2"/>
  <c r="K27" i="1"/>
  <c r="K111" i="1"/>
  <c r="I111" i="1"/>
  <c r="I27" i="1"/>
  <c r="G4" i="2"/>
  <c r="H104" i="1"/>
  <c r="H105" i="1" s="1"/>
  <c r="H110" i="1" s="1"/>
  <c r="H97" i="1"/>
  <c r="H109" i="1" s="1"/>
  <c r="E111" i="1"/>
  <c r="C4" i="2"/>
  <c r="E27" i="1"/>
  <c r="G5" i="2"/>
  <c r="I28" i="1"/>
  <c r="J7" i="2"/>
  <c r="I7" i="2"/>
  <c r="K30" i="1"/>
  <c r="F26" i="1"/>
  <c r="F111" i="1"/>
  <c r="L114" i="1" l="1"/>
  <c r="F27" i="1"/>
  <c r="E4" i="2"/>
  <c r="G27" i="1"/>
  <c r="G118" i="1"/>
  <c r="G123" i="1" s="1"/>
  <c r="G31" i="1" s="1"/>
  <c r="E118" i="1"/>
  <c r="E123" i="1" s="1"/>
  <c r="E114" i="1"/>
  <c r="J27" i="1"/>
  <c r="H4" i="2"/>
  <c r="J111" i="1"/>
  <c r="B4" i="2"/>
  <c r="D111" i="1"/>
  <c r="I112" i="1" s="1"/>
  <c r="D27" i="1"/>
  <c r="F4" i="2"/>
  <c r="H27" i="1"/>
  <c r="H111" i="1"/>
  <c r="I118" i="1"/>
  <c r="I123" i="1" s="1"/>
  <c r="I114" i="1"/>
  <c r="J28" i="1"/>
  <c r="H5" i="2"/>
  <c r="B5" i="2"/>
  <c r="D28" i="1"/>
  <c r="H28" i="1"/>
  <c r="F5" i="2"/>
  <c r="K118" i="1"/>
  <c r="K123" i="1" s="1"/>
  <c r="K114" i="1"/>
  <c r="F114" i="1"/>
  <c r="F118" i="1"/>
  <c r="F123" i="1" s="1"/>
  <c r="G125" i="1"/>
  <c r="G33" i="1" s="1"/>
  <c r="L125" i="1"/>
  <c r="L33" i="1" s="1"/>
  <c r="K112" i="1" l="1"/>
  <c r="E112" i="1"/>
  <c r="F112" i="1"/>
  <c r="J118" i="1"/>
  <c r="J123" i="1" s="1"/>
  <c r="J112" i="1"/>
  <c r="J114" i="1"/>
  <c r="I125" i="1"/>
  <c r="I33" i="1" s="1"/>
  <c r="I31" i="1"/>
  <c r="E31" i="1"/>
  <c r="E125" i="1"/>
  <c r="E33" i="1" s="1"/>
  <c r="H118" i="1"/>
  <c r="H123" i="1" s="1"/>
  <c r="H112" i="1"/>
  <c r="H114" i="1"/>
  <c r="D114" i="1"/>
  <c r="D118" i="1"/>
  <c r="D123" i="1" s="1"/>
  <c r="G112" i="1"/>
  <c r="L112" i="1"/>
  <c r="K125" i="1"/>
  <c r="K33" i="1" s="1"/>
  <c r="K31" i="1"/>
  <c r="F31" i="1"/>
  <c r="F125" i="1"/>
  <c r="F33" i="1" s="1"/>
  <c r="J31" i="1" l="1"/>
  <c r="J125" i="1"/>
  <c r="J33" i="1" s="1"/>
  <c r="D31" i="1"/>
  <c r="D125" i="1"/>
  <c r="D33" i="1" s="1"/>
  <c r="H31" i="1"/>
  <c r="H125" i="1"/>
  <c r="H33" i="1" s="1"/>
</calcChain>
</file>

<file path=xl/sharedStrings.xml><?xml version="1.0" encoding="utf-8"?>
<sst xmlns="http://schemas.openxmlformats.org/spreadsheetml/2006/main" count="363" uniqueCount="237">
  <si>
    <t>Gebäudedaten</t>
  </si>
  <si>
    <t>m2</t>
  </si>
  <si>
    <t>Objekt:</t>
  </si>
  <si>
    <t>kWh/a</t>
  </si>
  <si>
    <t>Energieträger:</t>
  </si>
  <si>
    <t>Gas</t>
  </si>
  <si>
    <t>WP Sole</t>
  </si>
  <si>
    <t>WP Luft</t>
  </si>
  <si>
    <t>Einheit:</t>
  </si>
  <si>
    <t>[m3]</t>
  </si>
  <si>
    <t>[kWh]</t>
  </si>
  <si>
    <t>[kWh/...]</t>
  </si>
  <si>
    <t>Elektroverbrauch Motoren,etc.</t>
  </si>
  <si>
    <t>Prozentualer Anteil Solarenergie</t>
  </si>
  <si>
    <t>Investitionen</t>
  </si>
  <si>
    <t>[Fr.]</t>
  </si>
  <si>
    <t>Tank</t>
  </si>
  <si>
    <t>Kaminanlage</t>
  </si>
  <si>
    <t>Expansion</t>
  </si>
  <si>
    <t>Speicher mit Warmwasser</t>
  </si>
  <si>
    <t>Erdsonde/Quelle</t>
  </si>
  <si>
    <t>Heizverteilung</t>
  </si>
  <si>
    <t>Dämmungen</t>
  </si>
  <si>
    <t>Montage, Honorare, div.</t>
  </si>
  <si>
    <t>Sanitär</t>
  </si>
  <si>
    <t>Elektro</t>
  </si>
  <si>
    <t>Sonnenkollektoranlage</t>
  </si>
  <si>
    <t>Total Investitionen</t>
  </si>
  <si>
    <t>Mittlere Abschreibungsdauer</t>
  </si>
  <si>
    <t>Annuität [%]      bei Realzins</t>
  </si>
  <si>
    <t>%</t>
  </si>
  <si>
    <t>Total Kapitalkosten</t>
  </si>
  <si>
    <t>Fr/a</t>
  </si>
  <si>
    <t>Energiekosten</t>
  </si>
  <si>
    <t>Ölkessel</t>
  </si>
  <si>
    <t>Gaskessel</t>
  </si>
  <si>
    <t>Endenergieverbrauch</t>
  </si>
  <si>
    <t>Heizöl EL</t>
  </si>
  <si>
    <t>Erdgas Grundpreis</t>
  </si>
  <si>
    <t>Fr./a</t>
  </si>
  <si>
    <t>Erdgas</t>
  </si>
  <si>
    <t>Rp/kWh</t>
  </si>
  <si>
    <t>Pellets in Silo geblasen</t>
  </si>
  <si>
    <t>Total Energiekosten</t>
  </si>
  <si>
    <t>Übrige Heizkosten</t>
  </si>
  <si>
    <t>Service und Reparatur</t>
  </si>
  <si>
    <t>Rauchgaskontrolle</t>
  </si>
  <si>
    <t>Kaminfeger</t>
  </si>
  <si>
    <t>Tankreinigung</t>
  </si>
  <si>
    <t>Verzinsung Brennstoff</t>
  </si>
  <si>
    <t>Total übrige Heizkosten</t>
  </si>
  <si>
    <t>Total Jahreskosten</t>
  </si>
  <si>
    <t>Kapitalkosten</t>
  </si>
  <si>
    <t>% Veränderung zu Öl</t>
  </si>
  <si>
    <t>Wärmepreis</t>
  </si>
  <si>
    <t>Maurer, Umgebung, Gärtner</t>
  </si>
  <si>
    <t>Fr/100 Liter</t>
  </si>
  <si>
    <t>[l]</t>
  </si>
  <si>
    <t>Pellet</t>
  </si>
  <si>
    <t>Öl/Sonne</t>
  </si>
  <si>
    <t>Pellet/Sonne</t>
  </si>
  <si>
    <t>Fr./t</t>
  </si>
  <si>
    <t>Gas/Sonne</t>
  </si>
  <si>
    <t>[t]</t>
  </si>
  <si>
    <t>[Fr]</t>
  </si>
  <si>
    <t>Kessel, Wärmepumpe</t>
  </si>
  <si>
    <t>Förderung/Steuerabzug</t>
  </si>
  <si>
    <t>Rückbau/Entsorgung</t>
  </si>
  <si>
    <t>UBP13 Betrieb</t>
  </si>
  <si>
    <t>UBP13 Infra</t>
  </si>
  <si>
    <t>UBP13 Total</t>
  </si>
  <si>
    <t>GWP Betrieb</t>
  </si>
  <si>
    <t>GWP Infra</t>
  </si>
  <si>
    <t>GWP Total</t>
  </si>
  <si>
    <t>KBOB Name</t>
  </si>
  <si>
    <t>DS Name</t>
  </si>
  <si>
    <t>UBP</t>
  </si>
  <si>
    <t>kg CO2e</t>
  </si>
  <si>
    <t>Ölheizung, kondensierend</t>
  </si>
  <si>
    <t>MJ</t>
  </si>
  <si>
    <t>Heizkessel Erdgas</t>
  </si>
  <si>
    <t>Heat, natural gas, at boiler condensing modulating &lt;100kW/RER U</t>
  </si>
  <si>
    <t>Erdgasheizung, kondensierend, modulierend</t>
  </si>
  <si>
    <t>Elektrowärmepumpe Luft / Wasser (JAZ 2.8)</t>
  </si>
  <si>
    <t>elektrische Wärmepumpe, Luft/Wasser</t>
  </si>
  <si>
    <t>Elektrowärmepumpe Erdsonden (JAZ 3.9)</t>
  </si>
  <si>
    <t>elektrische Wärmepumpe, Sole/Wasser, inkl. Erdsonde</t>
  </si>
  <si>
    <t>Heizkessel Pellets</t>
  </si>
  <si>
    <t>heat, wood pellets, at furnace 50kW, adjusted PM, with PF/MJ/CH U</t>
  </si>
  <si>
    <t>Holzpelletsheizung mit Partikelfilter</t>
  </si>
  <si>
    <t>Heizkessel Pellets mit Partikelfilter</t>
  </si>
  <si>
    <t>heat, wood pellets, at furnace 50kW, adjusted PM, without PF/MJ/CH U</t>
  </si>
  <si>
    <t xml:space="preserve">Holzpelletsheizung </t>
  </si>
  <si>
    <t>Sonnenkollektoren (Flachkollektoren)</t>
  </si>
  <si>
    <t>Fernwärme mit Nutzung Kehrichtwärme, Durchschnitt Netze CH</t>
  </si>
  <si>
    <t>district heat, average Switzerland, at grid/MJ/CH U</t>
  </si>
  <si>
    <t>Fernwärme Schweiz</t>
  </si>
  <si>
    <t>Kehrichtverbrennung</t>
  </si>
  <si>
    <t>district heat, from municipal waste incineration plant/MJ/CH U</t>
  </si>
  <si>
    <t>Fernwärme KVA</t>
  </si>
  <si>
    <t>Heizzentrale Holz</t>
  </si>
  <si>
    <t>district heat, from wood, 6400kWth, emission control/MJ/CH U</t>
  </si>
  <si>
    <t>Fernwärme Holz</t>
  </si>
  <si>
    <t>Mix zertifizierte Stromprodukte CH</t>
  </si>
  <si>
    <t>Strommix, zertifiziert</t>
  </si>
  <si>
    <t>Strommix, Liefermix</t>
  </si>
  <si>
    <t>Name Offerte</t>
  </si>
  <si>
    <t>Einheit</t>
  </si>
  <si>
    <t>KBOB Nummer</t>
  </si>
  <si>
    <t>43.002</t>
  </si>
  <si>
    <t>44.001</t>
  </si>
  <si>
    <t>44.002</t>
  </si>
  <si>
    <t>43.008</t>
  </si>
  <si>
    <t>43.012</t>
  </si>
  <si>
    <t>42.017</t>
  </si>
  <si>
    <t>42.011</t>
  </si>
  <si>
    <t>42.003</t>
  </si>
  <si>
    <t>45.022</t>
  </si>
  <si>
    <t>Strommix, Liefermix, Winter</t>
  </si>
  <si>
    <t>neu</t>
  </si>
  <si>
    <t>electricity, low voltage, certified electricity, at grid/kWh/CH U</t>
  </si>
  <si>
    <t>45.020</t>
  </si>
  <si>
    <t>CH-Verbrauchermix</t>
  </si>
  <si>
    <t>Wärmepumpe Luft/Wasser betrieben mit</t>
  </si>
  <si>
    <t>Wärmepumpe Sole/Wasser betrieben mit</t>
  </si>
  <si>
    <t>electricity, low voltage, at grid/kWh/CH U</t>
  </si>
  <si>
    <t>Heat, light fuel oil, at boiler 10kW condensing, non-modulating/CH U</t>
  </si>
  <si>
    <t>Heat, at air-water heat pump 10kW/CH U</t>
  </si>
  <si>
    <t>Heat, borehole heat exchanger, at brine-water heat pump 10kW/CH U</t>
  </si>
  <si>
    <t>heat, at 12 m2 Cu collector, one-family house, for combined system/CH U</t>
  </si>
  <si>
    <t>electricity, winter season oct to march, low voltage, at grid/CH U</t>
  </si>
  <si>
    <t>Fernwärme</t>
  </si>
  <si>
    <t>Strommix</t>
  </si>
  <si>
    <t>zertifiziert</t>
  </si>
  <si>
    <t>mit PF</t>
  </si>
  <si>
    <t>ohne PF</t>
  </si>
  <si>
    <t>Bitte Auswahl treffen:</t>
  </si>
  <si>
    <t>KVA</t>
  </si>
  <si>
    <t>Schweiz</t>
  </si>
  <si>
    <t>Holz</t>
  </si>
  <si>
    <t xml:space="preserve">dem Betrieb anfallen. Die Belastungen werden gemäss der Ökobilanzbewertungsmethode Methode der ökologischen Knappheit (auch Ecological Scarcity, UBP-Methode) </t>
  </si>
  <si>
    <t>Treibhausgasemissionen (CO2-eq)</t>
  </si>
  <si>
    <t>Gesamtumweltbelastung (UBP 2013)</t>
  </si>
  <si>
    <t>bewertet (gemäss Frischknecht et al. 2008 und Frischknecht &amp; Büsser Knöpfel 2013). Die Umweltdaten und Bewertungsscores stammen aus dem ecoinvent v2.2+ Datenbestand.</t>
  </si>
  <si>
    <t>emittiert wurden. Die Gase wurden nach IPCC 2013 für den Betrachtungszeitraum 100 Jahre gemäss deren Wirkung addiert. Die Emissions-</t>
  </si>
  <si>
    <t>Egalmix</t>
  </si>
  <si>
    <t>Anstieg CO2-Abgabe</t>
  </si>
  <si>
    <t>Jahreskosten mit externen Kosten</t>
  </si>
  <si>
    <t xml:space="preserve">Jahreskosten  </t>
  </si>
  <si>
    <t>Jährlicher Energieverbrauch bisher</t>
  </si>
  <si>
    <t>Anschluss (Gas, Fernwärme)</t>
  </si>
  <si>
    <t>Wärmeübergabestation</t>
  </si>
  <si>
    <t>Zusatzinfo / Bemerkungen</t>
  </si>
  <si>
    <t>Rückbau/Entsorgung der bestehenden Heizungsanlage, um sie durch eine gleichartige zu ersetzen</t>
  </si>
  <si>
    <t>Werte zu den Kosten der Fernwärme schwanken schweizweit sehr stark, daher konnten hier keine Mittel- bzw. Orientierungswerte angegeben werden.</t>
  </si>
  <si>
    <t>Hier können kantonale und kommunale Fördergelder, Steuerabzüge bei der Bundes- und Kantonssteuer sowie allfällige Überwälzungen an die Mieter in  Abzug gebracht werden.</t>
  </si>
  <si>
    <t>Energieverbrauch</t>
  </si>
  <si>
    <t>Heizenergiebedarf (Qw), bisher:</t>
  </si>
  <si>
    <t>[-]</t>
  </si>
  <si>
    <t>[kWh/a]</t>
  </si>
  <si>
    <t>Rp./kWh</t>
  </si>
  <si>
    <t xml:space="preserve">Energiebezugsfläche = Beheizter Wohnraum </t>
  </si>
  <si>
    <t>WP = Wärmepumpenheizung, Sole = Wärmegewinnung mittels Erdsonde</t>
  </si>
  <si>
    <t>Total</t>
  </si>
  <si>
    <t>Je Quadratmeter Energiebezugsfläche:</t>
  </si>
  <si>
    <t>MJ/(m2*a)</t>
  </si>
  <si>
    <t>Energiebezugsfläche (EBF):</t>
  </si>
  <si>
    <t>Strom</t>
  </si>
  <si>
    <t>kalkulatorische Energiepreiszuschläge gemäss SIA 480; Kosten, die nicht der Heizungsbesitzer, sondern die Allgemeinheit trägt</t>
  </si>
  <si>
    <t>Externe Kosten KEPZ variieren bei Fernwärme stark je nach verwendetem Energieträgermix.</t>
  </si>
  <si>
    <t>Wärmequelle</t>
  </si>
  <si>
    <t>Externe Kosten KEPZ</t>
  </si>
  <si>
    <t>www.wwf.ch/heizen</t>
  </si>
  <si>
    <t>[t/Jahr]</t>
  </si>
  <si>
    <t>[Mio Pt/Jahr]</t>
  </si>
  <si>
    <t>Vergleich der Umweltbelastungen verschiedener Heizsysteme</t>
  </si>
  <si>
    <t>Partikelfilter ja/nein</t>
  </si>
  <si>
    <t>Fr./Jahr</t>
  </si>
  <si>
    <t>Weitere Kennzahlen zu den verschiedenen Heizsystemen</t>
  </si>
  <si>
    <t>Quellen / Grundlagen für den Heizkostenvergleich</t>
  </si>
  <si>
    <t>Für Anlagen 30-60kW</t>
  </si>
  <si>
    <t>kWh/(m2*a)</t>
  </si>
  <si>
    <t>bzw.</t>
  </si>
  <si>
    <t>Vergleich der Jahreskosten und Umweltauswirkungen von Heizungssystemen</t>
  </si>
  <si>
    <t xml:space="preserve">Alle Angaben ohne Gewähr </t>
  </si>
  <si>
    <t>Für genauere Vergleiche können in alle weiss hinterlegten Zellen eigene Daten eingeben und bei den orange hinterlegten eine Auswahl getroffen werden.</t>
  </si>
  <si>
    <t xml:space="preserve">Zusatzinformationen zu Begriffen, Zahlen und Quellen erhalten Sie in Spalte N und am Ende des Dokuments sowie im PDF "Heizkostenvergleich" (ab Seite 7) auf </t>
  </si>
  <si>
    <t>Bezeichnung des MFH</t>
  </si>
  <si>
    <t>Ausstoss fossiles CO2 ab Kamin</t>
  </si>
  <si>
    <t>Strom Wärmepumpen-Tarif HT</t>
  </si>
  <si>
    <t>Strom Wärmepumpen-Tarif NT</t>
  </si>
  <si>
    <t>Nutzung Jahre</t>
  </si>
  <si>
    <t>Preis für WP-Zähler</t>
  </si>
  <si>
    <t>Fernwärme Grundpreis (incl. Messung)</t>
  </si>
  <si>
    <t>Alle Kostenangaben im gesamten Excel-Dokument ohne MWSt!</t>
  </si>
  <si>
    <r>
      <t xml:space="preserve">Vergleich der </t>
    </r>
    <r>
      <rPr>
        <b/>
        <i/>
        <sz val="12"/>
        <rFont val="Arial"/>
        <family val="2"/>
      </rPr>
      <t>Jahreskosten</t>
    </r>
    <r>
      <rPr>
        <b/>
        <sz val="12"/>
        <rFont val="Arial"/>
        <family val="2"/>
      </rPr>
      <t xml:space="preserve"> für verschiedene Heizsysteme</t>
    </r>
  </si>
  <si>
    <t>Energieinhalt pro Einheit (Hi)</t>
  </si>
  <si>
    <t>Nutzungsgrad Wärme bez. Hi</t>
  </si>
  <si>
    <t>Durchschnittspreis in CH für private Haushalte - incl. Grundpreis</t>
  </si>
  <si>
    <t>Wegen starker Unterschiede zwischen Elektrizitätswerken hier die 2015er Hoch- und Nieder-Tarife (HT und NT) von EKZ (Mixstrom)</t>
  </si>
  <si>
    <t>Falls beim eigenen Elektrizitätswerk keine Unterscheidung zwischen Hochtarif (HT) und Niedertarif (NT) gemacht wird, in beiden Zellen den gleichen Wert eingeben</t>
  </si>
  <si>
    <t>Weil die Brennstoffe Öl und Pellets immer im Voraus für das ganze Jahr bezahlt werden, fallen Zinskosten an.</t>
  </si>
  <si>
    <t>Preis für WP- Zähler: Jahreskosten von EKZ für einen Wandlerzähler (WP); bei normalem Zähler meist deutlich niedrigere Werte</t>
  </si>
  <si>
    <t>[η/JAZ]</t>
  </si>
  <si>
    <t>η/JAZ</t>
  </si>
  <si>
    <t>Haftungsausschluss</t>
  </si>
  <si>
    <t>Der vorliegende Vergleich der Heizungskosten wurde mit grösster Sorgfalt erstellt. Da viele Daten und Informationen jedoch von Dritten stammen, kann der WWF Schweiz die Richtigkeit, Genauigkeit und Vollständigkeit des Vergleichs und der zugrundeliegenden Daten nicht garantieren. Jegliche Haftung des WWF Schweiz für Schäden, welche direkt oder indirekt durch die Verwendung des Vergleichs entstehen, ist daher im gesetzlich zulässigen Rahmen ausgeschlossen. Aufgrund der grossen Preisunterschiede je nach Ort, Anbieter und  Nutzung des Gebäudes empfiehlt der WWF Schweiz, individuelle Werte zu recherchieren. Der WWF Schweiz behält sich vor, den Vergleich der Heizungskosten ohne Vorankündigung anzupassen. Das Urheberrecht am vorliegenden Vergleich der Heizkosten liegt beim WWF Schweiz. Der WWF Schweiz ist bestrebt, fremde Urheberrechte an einzelnen Daten zu wahren. Derartige Inhalte können nur mit Zustimmung des Urhebers verwendet werden.</t>
  </si>
  <si>
    <t>daten stammen aus dem ecoinvent v2.2+ Datenbestand (KBOB et al. 2014) und wurden berechnet von Treeze Ltd. (Büsser Knöpfel &amp; Frischknecht 2015).</t>
  </si>
  <si>
    <t>und wurden berechnet von Treeze Ltd. (Büsser Knöpfel &amp; Frischknecht 2015).</t>
  </si>
  <si>
    <t>Falls Sie das Warmwasser bisher mit einem oder mehreren Elektroboiler/n erwärmen, geben Sie in Zelle C18 den dafür benötigten Stromverbrauch ein.</t>
  </si>
  <si>
    <t>Für einen einfachen Kostenvergleich genügt die Eingabe der Gebäudedaten zu Energiebezugsfläche und bisherigem Energieverbrauch in Zelle D13 bzw. C18 bis L18</t>
  </si>
  <si>
    <t>Für eine genauer auf Sie zugeschnittene Kostenbetrachtung prüfen Sie bitte die Zahlen in den Zeilen 50 bis 130 (z. B. anhand vorliegender Offerten)</t>
  </si>
  <si>
    <t>Kosten der Fernwärme schwanken schweizweit sehr stark, für den Vergleich mit Fernwärme müssen daher zwingend in den Zellen B95, B96, L60 bis L76 und L100 bis L104 eigene Werte eingegeben werden.</t>
  </si>
  <si>
    <t>Drucken: Für optimale Ansicht: im Querformat (Landscape-Orientation) drucken!</t>
  </si>
  <si>
    <t>Die Variante Pellet/Sonne wurde im Beispiel mit einem höheren Anteil Solarenergie (20% anstelle von 15% bei Öl/Sonne bzw. Gas/Sonne) angenommen. Daher auch die höheren Kosten für den Bau der grösseren Solaranlage</t>
  </si>
  <si>
    <t>Externe Kosten: KEPZ pro kWh</t>
  </si>
  <si>
    <t>Externe Kosten: KEPZ pro Jahr</t>
  </si>
  <si>
    <t>Wird nur für Fernwärme benötigt.</t>
  </si>
  <si>
    <t>JAZ (Jahresarbeitszahl bei WP-Systemen): das Verhältnis der über das Jahr abgegebenen Wärme zur aufgenommenen elektrischen Energie; η: Wirkungsgrad bei den übrigen Systemen.</t>
  </si>
  <si>
    <t>1. Für Wärmepumpen kann die Art des verwendeten Strommix gewählt werden zwischen zertifiziertem Ökostrom (z.B. naturemade star) oder Egalmix. 
2. Für Pelletheizungen kann gewählt werden zwischen Varianten mit und ohne Partikelfilter. 
3. Beim Fernwärmebezug kann gewählt werden zwischen Abwärme aus Kehrichtverbrennungsanlagen (KVA), aus Holzfeuerungsanlagen (Holz), oder falls die Quelle nicht bekannt ist aus dem Schweizerischen Durchschnittsmix (Schweiz).</t>
  </si>
  <si>
    <t>Unabhängig davon, wie der Warmwasserbedarf bisher gedeckt wurde, werden die Heizkosten für die neuen Systeme inkl. Warmwasserverbrauch berechnet.</t>
  </si>
  <si>
    <t>Elektroboiler</t>
  </si>
  <si>
    <t>Ausstoss fossiles CO2 ab Kamin bzw. CO2-eq in Tonnen pro Jahr</t>
  </si>
  <si>
    <t>Millionen UBP pro Jahr</t>
  </si>
  <si>
    <t>Jahreskosten in Schweizer Franken</t>
  </si>
  <si>
    <t>Bitte Auswahl treffen</t>
  </si>
  <si>
    <t>Aktualisierte Version Mai 2019</t>
  </si>
  <si>
    <t>Anstieg CO2-Abgabe über 96 Fr./t</t>
  </si>
  <si>
    <t>Über die nächsten 20 Jahre gemittelter Zuschlag auf aktuellen CO2-Abgabe-Satz von 96 Fr/t (kann lt. Entwurf CO2-Gesetz bis 2030 auf 210 Fr/t steigen)</t>
  </si>
  <si>
    <t>In diesen Kosten ist eine CO2-Abgabe von 96 Fr./t CO2 enthalten. Diese kann bis 2030 auf 210 Fr./t CO2 ansteigen (siehe Zelle B119)</t>
  </si>
  <si>
    <t>Wärmepreis mit externen Kosten</t>
  </si>
  <si>
    <t>Energieverbrauch des jeweiligen Heizsystems, in Einheiten gemäss Zeile 17</t>
  </si>
  <si>
    <t>Investitionskosten und übrige Heizkosten: Branchenverbände, Energieplaner, eigene Recherchen, April 2015</t>
  </si>
  <si>
    <t>Energiekosten: Branchenverbände, Eidgenössische Elektrizitätskommission (ElCom), eigene Recherchen, April 2015</t>
  </si>
  <si>
    <t>Externe Kosten: kalkulatorische Energiepreiszuschläge gemäss SIA 480</t>
  </si>
  <si>
    <r>
      <rPr>
        <sz val="10"/>
        <rFont val="Arial"/>
        <family val="2"/>
      </rPr>
      <t>Treibhausgasemissionen:</t>
    </r>
    <r>
      <rPr>
        <sz val="10"/>
        <color rgb="FFFF0000"/>
        <rFont val="Arial"/>
        <family val="2"/>
      </rPr>
      <t xml:space="preserve"> </t>
    </r>
    <r>
      <rPr>
        <sz val="10"/>
        <rFont val="Arial"/>
        <family val="2"/>
      </rPr>
      <t xml:space="preserve">Beinhaltet sämtliche Treibhausgase die in der Produktion der Heizsysteme und Energieträger und dem Betrieb </t>
    </r>
  </si>
  <si>
    <t xml:space="preserve">Gesamtumweltbelastung (UBP 2013 und UBP 2006): Erfasst eine breite Palette von Umweltbelastungen die in der Produktion der Heizsysteme und Energieträger und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</si>
</sst>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 #,##0.00_ ;_ * \-#,##0.00_ ;_ * &quot;-&quot;??_ ;_ @_ "/>
    <numFmt numFmtId="164" formatCode="0.0000"/>
    <numFmt numFmtId="165" formatCode="0.000"/>
    <numFmt numFmtId="166" formatCode="0.0"/>
    <numFmt numFmtId="167" formatCode="0.000000"/>
    <numFmt numFmtId="168" formatCode="_ * #,##0.0_ ;_ * \-#,##0.0_ ;_ * &quot;-&quot;??_ ;_ @_ "/>
    <numFmt numFmtId="169" formatCode="_ * #,##0_ ;_ * \-#,##0_ ;_ * &quot;-&quot;??_ ;_ @_ "/>
    <numFmt numFmtId="170" formatCode="#,##0.0"/>
    <numFmt numFmtId="171" formatCode="_ * #,##0.0000_ ;_ * \-#,##0.0000_ ;_ * &quot;-&quot;??_ ;_ @_ "/>
  </numFmts>
  <fonts count="26" x14ac:knownFonts="1">
    <font>
      <sz val="10"/>
      <name val="Arial"/>
    </font>
    <font>
      <b/>
      <sz val="10"/>
      <name val="Arial"/>
      <family val="2"/>
    </font>
    <font>
      <sz val="10"/>
      <name val="Arial"/>
      <family val="2"/>
    </font>
    <font>
      <b/>
      <sz val="10"/>
      <name val="Arial"/>
      <family val="2"/>
    </font>
    <font>
      <b/>
      <sz val="12"/>
      <name val="Arial"/>
      <family val="2"/>
    </font>
    <font>
      <b/>
      <sz val="14"/>
      <name val="Arial"/>
      <family val="2"/>
    </font>
    <font>
      <sz val="8"/>
      <name val="Arial"/>
      <family val="2"/>
    </font>
    <font>
      <sz val="10"/>
      <name val="Arial"/>
      <family val="2"/>
    </font>
    <font>
      <u/>
      <sz val="10"/>
      <name val="Arial"/>
      <family val="2"/>
    </font>
    <font>
      <sz val="9"/>
      <name val="Arial"/>
      <family val="2"/>
    </font>
    <font>
      <b/>
      <sz val="9"/>
      <name val="Arial"/>
      <family val="2"/>
    </font>
    <font>
      <b/>
      <sz val="10"/>
      <color indexed="8"/>
      <name val="Arial"/>
      <family val="2"/>
    </font>
    <font>
      <b/>
      <sz val="10"/>
      <color indexed="10"/>
      <name val="Arial"/>
      <family val="2"/>
    </font>
    <font>
      <i/>
      <sz val="10"/>
      <name val="Arial"/>
      <family val="2"/>
    </font>
    <font>
      <i/>
      <sz val="9"/>
      <name val="Arial"/>
      <family val="2"/>
    </font>
    <font>
      <sz val="10"/>
      <color rgb="FFFF0000"/>
      <name val="Arial"/>
      <family val="2"/>
    </font>
    <font>
      <sz val="10"/>
      <color rgb="FF00B050"/>
      <name val="Arial"/>
      <family val="2"/>
    </font>
    <font>
      <b/>
      <sz val="12"/>
      <color rgb="FF00B050"/>
      <name val="Arial"/>
      <family val="2"/>
    </font>
    <font>
      <b/>
      <sz val="10"/>
      <color rgb="FF00B050"/>
      <name val="Arial"/>
      <family val="2"/>
    </font>
    <font>
      <sz val="10"/>
      <name val="Arial"/>
      <family val="2"/>
    </font>
    <font>
      <u/>
      <sz val="10"/>
      <color theme="10"/>
      <name val="Arial"/>
      <family val="2"/>
    </font>
    <font>
      <b/>
      <u/>
      <sz val="10"/>
      <color theme="10"/>
      <name val="Arial"/>
      <family val="2"/>
    </font>
    <font>
      <sz val="10"/>
      <name val="Arial"/>
      <family val="2"/>
    </font>
    <font>
      <b/>
      <i/>
      <sz val="12"/>
      <name val="Arial"/>
      <family val="2"/>
    </font>
    <font>
      <sz val="10"/>
      <color rgb="FF000000"/>
      <name val="Arial"/>
      <family val="2"/>
    </font>
    <font>
      <sz val="14"/>
      <name val="Arial"/>
      <family val="2"/>
    </font>
  </fonts>
  <fills count="4">
    <fill>
      <patternFill patternType="none"/>
    </fill>
    <fill>
      <patternFill patternType="gray125"/>
    </fill>
    <fill>
      <patternFill patternType="solid">
        <fgColor rgb="FFF8F8F8"/>
        <bgColor indexed="64"/>
      </patternFill>
    </fill>
    <fill>
      <patternFill patternType="solid">
        <fgColor rgb="FFFFC000"/>
        <bgColor indexed="64"/>
      </patternFill>
    </fill>
  </fills>
  <borders count="15">
    <border>
      <left/>
      <right/>
      <top/>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rgb="FFC00000"/>
      </left>
      <right style="medium">
        <color rgb="FFC00000"/>
      </right>
      <top style="medium">
        <color rgb="FFC00000"/>
      </top>
      <bottom style="medium">
        <color rgb="FFC00000"/>
      </bottom>
      <diagonal/>
    </border>
  </borders>
  <cellStyleXfs count="5">
    <xf numFmtId="0" fontId="0" fillId="0" borderId="0"/>
    <xf numFmtId="0" fontId="2" fillId="0" borderId="0"/>
    <xf numFmtId="43" fontId="19" fillId="0" borderId="0" applyFont="0" applyFill="0" applyBorder="0" applyAlignment="0" applyProtection="0"/>
    <xf numFmtId="0" fontId="20" fillId="0" borderId="0" applyNumberFormat="0" applyFill="0" applyBorder="0" applyAlignment="0" applyProtection="0"/>
    <xf numFmtId="9" fontId="22" fillId="0" borderId="0" applyFont="0" applyFill="0" applyBorder="0" applyAlignment="0" applyProtection="0"/>
  </cellStyleXfs>
  <cellXfs count="174">
    <xf numFmtId="0" fontId="0" fillId="0" borderId="0" xfId="0"/>
    <xf numFmtId="1" fontId="0" fillId="0" borderId="0" xfId="0" applyNumberFormat="1"/>
    <xf numFmtId="0" fontId="3" fillId="0" borderId="0" xfId="0" applyFont="1"/>
    <xf numFmtId="1" fontId="1" fillId="0" borderId="0" xfId="0" applyNumberFormat="1" applyFont="1"/>
    <xf numFmtId="0" fontId="0" fillId="0" borderId="0" xfId="0" applyBorder="1"/>
    <xf numFmtId="0" fontId="0" fillId="0" borderId="2" xfId="0" applyBorder="1"/>
    <xf numFmtId="0" fontId="0" fillId="0" borderId="0" xfId="0" applyProtection="1"/>
    <xf numFmtId="0" fontId="0" fillId="0" borderId="0" xfId="0" applyBorder="1" applyAlignment="1" applyProtection="1">
      <alignment horizontal="center"/>
    </xf>
    <xf numFmtId="0" fontId="0" fillId="0" borderId="0" xfId="0" applyFill="1" applyBorder="1" applyAlignment="1" applyProtection="1">
      <alignment horizontal="center"/>
    </xf>
    <xf numFmtId="1" fontId="2" fillId="0" borderId="0" xfId="0" applyNumberFormat="1" applyFont="1" applyProtection="1"/>
    <xf numFmtId="0" fontId="0" fillId="0" borderId="6" xfId="0" applyBorder="1"/>
    <xf numFmtId="0" fontId="0" fillId="0" borderId="8" xfId="0" applyBorder="1"/>
    <xf numFmtId="0" fontId="0" fillId="0" borderId="5" xfId="0" applyBorder="1"/>
    <xf numFmtId="0" fontId="0" fillId="0" borderId="7" xfId="0" applyBorder="1"/>
    <xf numFmtId="166" fontId="0" fillId="0" borderId="2" xfId="0" applyNumberFormat="1" applyBorder="1"/>
    <xf numFmtId="166" fontId="0" fillId="0" borderId="0" xfId="0" applyNumberFormat="1" applyBorder="1"/>
    <xf numFmtId="166" fontId="0" fillId="0" borderId="7" xfId="0" applyNumberFormat="1" applyBorder="1"/>
    <xf numFmtId="164" fontId="0" fillId="0" borderId="2" xfId="0" applyNumberFormat="1" applyBorder="1"/>
    <xf numFmtId="164" fontId="0" fillId="0" borderId="0" xfId="0" applyNumberFormat="1" applyBorder="1"/>
    <xf numFmtId="164" fontId="0" fillId="0" borderId="7" xfId="0" applyNumberFormat="1" applyBorder="1"/>
    <xf numFmtId="0" fontId="0" fillId="0" borderId="9" xfId="0" applyBorder="1"/>
    <xf numFmtId="0" fontId="0" fillId="0" borderId="10" xfId="0" applyBorder="1"/>
    <xf numFmtId="0" fontId="0" fillId="0" borderId="11" xfId="0" applyBorder="1"/>
    <xf numFmtId="0" fontId="0" fillId="0" borderId="0" xfId="0" applyFill="1" applyBorder="1"/>
    <xf numFmtId="0" fontId="2" fillId="0" borderId="7" xfId="0" applyFont="1" applyBorder="1"/>
    <xf numFmtId="0" fontId="2" fillId="0" borderId="10" xfId="0" applyFont="1" applyBorder="1"/>
    <xf numFmtId="0" fontId="2" fillId="0" borderId="0" xfId="0" applyFont="1"/>
    <xf numFmtId="0" fontId="2" fillId="0" borderId="0" xfId="0" applyFont="1" applyProtection="1"/>
    <xf numFmtId="164" fontId="0" fillId="0" borderId="0" xfId="0" applyNumberFormat="1"/>
    <xf numFmtId="164" fontId="0" fillId="0" borderId="7" xfId="0" applyNumberFormat="1" applyFill="1" applyBorder="1"/>
    <xf numFmtId="167" fontId="0" fillId="0" borderId="0" xfId="0" applyNumberFormat="1"/>
    <xf numFmtId="166" fontId="0" fillId="0" borderId="7" xfId="0" applyNumberFormat="1" applyFill="1" applyBorder="1"/>
    <xf numFmtId="0" fontId="2" fillId="0" borderId="0" xfId="0" applyFont="1" applyFill="1" applyBorder="1"/>
    <xf numFmtId="0" fontId="2" fillId="0" borderId="9" xfId="0" applyFont="1" applyFill="1" applyBorder="1"/>
    <xf numFmtId="166" fontId="0" fillId="0" borderId="10" xfId="0" applyNumberFormat="1" applyFill="1" applyBorder="1"/>
    <xf numFmtId="0" fontId="0" fillId="0" borderId="11" xfId="0" applyFill="1" applyBorder="1"/>
    <xf numFmtId="0" fontId="0" fillId="0" borderId="9" xfId="0" applyFill="1" applyBorder="1"/>
    <xf numFmtId="164" fontId="0" fillId="0" borderId="10" xfId="0" applyNumberFormat="1" applyFill="1" applyBorder="1"/>
    <xf numFmtId="0" fontId="2" fillId="0" borderId="0" xfId="0" applyFont="1" applyFill="1" applyBorder="1" applyAlignment="1" applyProtection="1">
      <alignment horizontal="center"/>
    </xf>
    <xf numFmtId="0" fontId="0" fillId="2" borderId="0" xfId="0" applyFill="1" applyAlignment="1" applyProtection="1">
      <alignment horizontal="centerContinuous"/>
    </xf>
    <xf numFmtId="1" fontId="1" fillId="2" borderId="0" xfId="0" applyNumberFormat="1" applyFont="1" applyFill="1" applyAlignment="1" applyProtection="1">
      <alignment horizontal="center"/>
    </xf>
    <xf numFmtId="1" fontId="3" fillId="2" borderId="0" xfId="0" applyNumberFormat="1" applyFont="1" applyFill="1" applyAlignment="1" applyProtection="1">
      <alignment horizontal="center"/>
    </xf>
    <xf numFmtId="1" fontId="10" fillId="2" borderId="0" xfId="0" applyNumberFormat="1" applyFont="1" applyFill="1" applyAlignment="1" applyProtection="1">
      <alignment horizontal="center"/>
    </xf>
    <xf numFmtId="0" fontId="0" fillId="2" borderId="0" xfId="0" applyFill="1" applyBorder="1" applyAlignment="1" applyProtection="1">
      <alignment horizontal="left"/>
    </xf>
    <xf numFmtId="0" fontId="0" fillId="2" borderId="0" xfId="0" applyFill="1" applyAlignment="1" applyProtection="1">
      <alignment horizontal="center"/>
    </xf>
    <xf numFmtId="0" fontId="0" fillId="2" borderId="0" xfId="0" applyFill="1" applyBorder="1" applyAlignment="1" applyProtection="1">
      <alignment horizontal="center"/>
    </xf>
    <xf numFmtId="0" fontId="9" fillId="2" borderId="0" xfId="0" applyFont="1" applyFill="1" applyAlignment="1" applyProtection="1">
      <alignment horizontal="center"/>
    </xf>
    <xf numFmtId="0" fontId="3" fillId="2" borderId="0" xfId="0" applyFont="1" applyFill="1" applyBorder="1" applyAlignment="1" applyProtection="1">
      <alignment horizontal="right"/>
    </xf>
    <xf numFmtId="1" fontId="3" fillId="2" borderId="0" xfId="0" applyNumberFormat="1" applyFont="1" applyFill="1" applyBorder="1" applyAlignment="1" applyProtection="1">
      <alignment horizontal="center"/>
    </xf>
    <xf numFmtId="0" fontId="0" fillId="2" borderId="0" xfId="0" applyFill="1" applyAlignment="1" applyProtection="1">
      <alignment horizontal="right"/>
    </xf>
    <xf numFmtId="0" fontId="3" fillId="2" borderId="0" xfId="0" applyFont="1" applyFill="1" applyAlignment="1" applyProtection="1">
      <alignment horizontal="center"/>
    </xf>
    <xf numFmtId="0" fontId="1" fillId="2" borderId="0" xfId="0" applyFont="1" applyFill="1" applyAlignment="1" applyProtection="1">
      <alignment horizontal="right"/>
    </xf>
    <xf numFmtId="165" fontId="0" fillId="2" borderId="0" xfId="0" applyNumberFormat="1" applyFill="1" applyAlignment="1" applyProtection="1">
      <alignment horizontal="center"/>
    </xf>
    <xf numFmtId="165" fontId="13" fillId="2" borderId="0" xfId="0" applyNumberFormat="1" applyFont="1" applyFill="1" applyAlignment="1" applyProtection="1">
      <alignment horizontal="center"/>
    </xf>
    <xf numFmtId="169" fontId="9" fillId="0" borderId="1" xfId="2" applyNumberFormat="1" applyFont="1" applyFill="1" applyBorder="1" applyAlignment="1" applyProtection="1">
      <alignment horizontal="center"/>
      <protection locked="0"/>
    </xf>
    <xf numFmtId="169" fontId="14" fillId="0" borderId="1" xfId="2" applyNumberFormat="1" applyFont="1" applyFill="1" applyBorder="1" applyAlignment="1" applyProtection="1">
      <alignment horizontal="center"/>
      <protection locked="0"/>
    </xf>
    <xf numFmtId="0" fontId="0" fillId="2" borderId="0" xfId="0" applyFill="1" applyAlignment="1" applyProtection="1"/>
    <xf numFmtId="0" fontId="1" fillId="2" borderId="0" xfId="0" applyFont="1" applyFill="1" applyAlignment="1" applyProtection="1"/>
    <xf numFmtId="0" fontId="12" fillId="2" borderId="0" xfId="0" applyFont="1" applyFill="1" applyAlignment="1" applyProtection="1"/>
    <xf numFmtId="0" fontId="2" fillId="2" borderId="0" xfId="0" applyFont="1" applyFill="1" applyAlignment="1" applyProtection="1"/>
    <xf numFmtId="0" fontId="3" fillId="2" borderId="0" xfId="0" applyFont="1" applyFill="1" applyAlignment="1" applyProtection="1"/>
    <xf numFmtId="0" fontId="4" fillId="2" borderId="0" xfId="0" applyFont="1" applyFill="1" applyBorder="1" applyAlignment="1" applyProtection="1"/>
    <xf numFmtId="0" fontId="0" fillId="2" borderId="0" xfId="0" applyFill="1" applyBorder="1" applyAlignment="1" applyProtection="1"/>
    <xf numFmtId="0" fontId="6" fillId="2" borderId="0" xfId="0" applyFont="1" applyFill="1" applyBorder="1" applyAlignment="1" applyProtection="1">
      <alignment horizontal="center"/>
    </xf>
    <xf numFmtId="0" fontId="2" fillId="2" borderId="0" xfId="0" applyFont="1" applyFill="1" applyBorder="1" applyAlignment="1" applyProtection="1">
      <alignment horizontal="left"/>
    </xf>
    <xf numFmtId="169" fontId="1" fillId="2" borderId="0" xfId="2" applyNumberFormat="1" applyFont="1" applyFill="1" applyBorder="1" applyAlignment="1" applyProtection="1">
      <alignment horizontal="right"/>
    </xf>
    <xf numFmtId="0" fontId="16" fillId="2" borderId="0" xfId="0" applyFont="1" applyFill="1" applyBorder="1" applyAlignment="1" applyProtection="1">
      <alignment horizontal="left" wrapText="1"/>
    </xf>
    <xf numFmtId="1" fontId="1" fillId="2" borderId="0" xfId="0" applyNumberFormat="1" applyFont="1" applyFill="1" applyBorder="1" applyAlignment="1" applyProtection="1">
      <alignment horizontal="right"/>
    </xf>
    <xf numFmtId="0" fontId="4" fillId="2" borderId="0" xfId="0" applyFont="1" applyFill="1" applyAlignment="1" applyProtection="1"/>
    <xf numFmtId="0" fontId="9" fillId="2" borderId="0" xfId="0" applyFont="1" applyFill="1" applyAlignment="1" applyProtection="1"/>
    <xf numFmtId="0" fontId="3" fillId="2" borderId="0" xfId="0" applyFont="1" applyFill="1" applyBorder="1" applyAlignment="1" applyProtection="1"/>
    <xf numFmtId="0" fontId="2" fillId="2" borderId="0" xfId="0" applyFont="1" applyFill="1" applyBorder="1" applyAlignment="1" applyProtection="1"/>
    <xf numFmtId="0" fontId="0" fillId="2" borderId="0" xfId="0" applyFont="1" applyFill="1" applyBorder="1" applyAlignment="1" applyProtection="1"/>
    <xf numFmtId="0" fontId="16" fillId="2" borderId="0" xfId="0" applyFont="1" applyFill="1" applyAlignment="1" applyProtection="1"/>
    <xf numFmtId="0" fontId="0" fillId="2" borderId="0" xfId="0" applyFont="1" applyFill="1" applyAlignment="1" applyProtection="1"/>
    <xf numFmtId="0" fontId="18" fillId="2" borderId="0" xfId="0" applyFont="1" applyFill="1" applyAlignment="1" applyProtection="1"/>
    <xf numFmtId="1" fontId="18" fillId="2" borderId="0" xfId="0" applyNumberFormat="1" applyFont="1" applyFill="1" applyAlignment="1" applyProtection="1">
      <alignment horizontal="center"/>
    </xf>
    <xf numFmtId="0" fontId="18" fillId="2" borderId="0" xfId="0" applyFont="1" applyFill="1" applyAlignment="1" applyProtection="1">
      <alignment horizontal="left"/>
    </xf>
    <xf numFmtId="0" fontId="1" fillId="2" borderId="0" xfId="0" applyFont="1" applyFill="1" applyBorder="1" applyAlignment="1" applyProtection="1"/>
    <xf numFmtId="0" fontId="1" fillId="2" borderId="0" xfId="0" applyFont="1" applyFill="1" applyBorder="1" applyAlignment="1" applyProtection="1">
      <alignment horizontal="right"/>
    </xf>
    <xf numFmtId="0" fontId="0" fillId="2" borderId="0" xfId="0" applyFill="1" applyBorder="1" applyAlignment="1" applyProtection="1">
      <alignment horizontal="right"/>
    </xf>
    <xf numFmtId="0" fontId="3" fillId="2" borderId="0" xfId="0" applyFont="1" applyFill="1" applyBorder="1" applyAlignment="1" applyProtection="1">
      <alignment horizontal="center"/>
    </xf>
    <xf numFmtId="0" fontId="17" fillId="2" borderId="0" xfId="0" applyFont="1" applyFill="1" applyBorder="1" applyAlignment="1" applyProtection="1">
      <alignment horizontal="left" wrapText="1"/>
    </xf>
    <xf numFmtId="0" fontId="1" fillId="2" borderId="0" xfId="0" applyFont="1" applyFill="1" applyBorder="1" applyAlignment="1" applyProtection="1">
      <alignment horizontal="left" wrapText="1"/>
    </xf>
    <xf numFmtId="169" fontId="11" fillId="0" borderId="14" xfId="2" applyNumberFormat="1" applyFont="1" applyFill="1" applyBorder="1" applyAlignment="1" applyProtection="1">
      <alignment horizontal="center"/>
      <protection locked="0"/>
    </xf>
    <xf numFmtId="0" fontId="2" fillId="2" borderId="0" xfId="0" applyFont="1" applyFill="1" applyAlignment="1" applyProtection="1">
      <alignment horizontal="right"/>
    </xf>
    <xf numFmtId="0" fontId="2" fillId="2" borderId="0" xfId="0" applyFont="1" applyFill="1" applyAlignment="1" applyProtection="1">
      <alignment horizontal="left"/>
    </xf>
    <xf numFmtId="0" fontId="2" fillId="2" borderId="0" xfId="0" applyFont="1" applyFill="1" applyAlignment="1" applyProtection="1">
      <alignment horizontal="center"/>
    </xf>
    <xf numFmtId="0" fontId="2" fillId="2" borderId="0" xfId="0" applyFont="1" applyFill="1" applyBorder="1" applyAlignment="1" applyProtection="1">
      <alignment horizontal="center"/>
    </xf>
    <xf numFmtId="0" fontId="4" fillId="2" borderId="0" xfId="0" applyFont="1" applyFill="1" applyBorder="1" applyAlignment="1" applyProtection="1">
      <alignment horizontal="left" wrapText="1"/>
    </xf>
    <xf numFmtId="43" fontId="0" fillId="2" borderId="0" xfId="2" applyFont="1" applyFill="1" applyAlignment="1" applyProtection="1">
      <alignment horizontal="right"/>
    </xf>
    <xf numFmtId="43" fontId="2" fillId="2" borderId="0" xfId="2" applyFont="1" applyFill="1" applyAlignment="1" applyProtection="1">
      <alignment horizontal="right" wrapText="1"/>
    </xf>
    <xf numFmtId="43" fontId="0" fillId="2" borderId="0" xfId="2" applyFont="1" applyFill="1" applyBorder="1" applyAlignment="1" applyProtection="1">
      <alignment horizontal="right" wrapText="1"/>
    </xf>
    <xf numFmtId="43" fontId="0" fillId="2" borderId="0" xfId="2" applyFont="1" applyFill="1" applyBorder="1" applyAlignment="1" applyProtection="1">
      <alignment horizontal="right"/>
    </xf>
    <xf numFmtId="43" fontId="0" fillId="2" borderId="0" xfId="2" applyFont="1" applyFill="1" applyAlignment="1" applyProtection="1">
      <alignment horizontal="right" wrapText="1"/>
    </xf>
    <xf numFmtId="169" fontId="2" fillId="2" borderId="0" xfId="2" applyNumberFormat="1" applyFont="1" applyFill="1" applyBorder="1" applyAlignment="1" applyProtection="1">
      <alignment horizontal="right"/>
    </xf>
    <xf numFmtId="168" fontId="2" fillId="2" borderId="0" xfId="2" applyNumberFormat="1" applyFont="1" applyFill="1" applyBorder="1" applyAlignment="1" applyProtection="1">
      <alignment horizontal="right"/>
    </xf>
    <xf numFmtId="169" fontId="2" fillId="0" borderId="1" xfId="2" applyNumberFormat="1" applyFont="1" applyFill="1" applyBorder="1" applyAlignment="1" applyProtection="1">
      <alignment horizontal="right"/>
      <protection locked="0"/>
    </xf>
    <xf numFmtId="43" fontId="2" fillId="0" borderId="1" xfId="2" applyNumberFormat="1" applyFont="1" applyFill="1" applyBorder="1" applyAlignment="1" applyProtection="1">
      <alignment horizontal="right"/>
      <protection locked="0"/>
    </xf>
    <xf numFmtId="9" fontId="2" fillId="0" borderId="1" xfId="4" applyFont="1" applyFill="1" applyBorder="1" applyAlignment="1" applyProtection="1">
      <alignment horizontal="right"/>
      <protection locked="0"/>
    </xf>
    <xf numFmtId="3" fontId="0" fillId="2" borderId="0" xfId="0" applyNumberFormat="1" applyFill="1" applyAlignment="1" applyProtection="1">
      <alignment horizontal="right"/>
    </xf>
    <xf numFmtId="1" fontId="9" fillId="2" borderId="0" xfId="0" applyNumberFormat="1" applyFont="1" applyFill="1" applyAlignment="1" applyProtection="1">
      <alignment horizontal="right"/>
    </xf>
    <xf numFmtId="2" fontId="9" fillId="2" borderId="0" xfId="0" applyNumberFormat="1" applyFont="1" applyFill="1" applyAlignment="1" applyProtection="1">
      <alignment horizontal="right"/>
    </xf>
    <xf numFmtId="1" fontId="3" fillId="2" borderId="0" xfId="0" applyNumberFormat="1" applyFont="1" applyFill="1" applyBorder="1" applyAlignment="1" applyProtection="1">
      <alignment horizontal="right"/>
    </xf>
    <xf numFmtId="43" fontId="0" fillId="2" borderId="0" xfId="2" applyNumberFormat="1" applyFont="1" applyFill="1" applyAlignment="1" applyProtection="1">
      <alignment horizontal="right"/>
    </xf>
    <xf numFmtId="169" fontId="0" fillId="2" borderId="0" xfId="2" applyNumberFormat="1" applyFont="1" applyFill="1" applyAlignment="1" applyProtection="1">
      <alignment horizontal="right"/>
    </xf>
    <xf numFmtId="169" fontId="2" fillId="2" borderId="0" xfId="2" applyNumberFormat="1" applyFont="1" applyFill="1" applyAlignment="1" applyProtection="1">
      <alignment horizontal="right"/>
    </xf>
    <xf numFmtId="0" fontId="0" fillId="0" borderId="1" xfId="0" applyFill="1" applyBorder="1" applyAlignment="1" applyProtection="1">
      <alignment horizontal="right"/>
      <protection locked="0"/>
    </xf>
    <xf numFmtId="169" fontId="3" fillId="2" borderId="0" xfId="2" applyNumberFormat="1" applyFont="1" applyFill="1" applyBorder="1" applyAlignment="1" applyProtection="1">
      <alignment horizontal="right"/>
    </xf>
    <xf numFmtId="168" fontId="3" fillId="2" borderId="0" xfId="2" applyNumberFormat="1" applyFont="1" applyFill="1" applyAlignment="1" applyProtection="1">
      <alignment horizontal="right"/>
    </xf>
    <xf numFmtId="169" fontId="3" fillId="2" borderId="0" xfId="2" applyNumberFormat="1" applyFont="1" applyFill="1" applyAlignment="1" applyProtection="1">
      <alignment horizontal="right"/>
    </xf>
    <xf numFmtId="3" fontId="3" fillId="2" borderId="0" xfId="2" applyNumberFormat="1" applyFont="1" applyFill="1" applyAlignment="1" applyProtection="1">
      <alignment horizontal="right"/>
    </xf>
    <xf numFmtId="3" fontId="3" fillId="2" borderId="0" xfId="0" applyNumberFormat="1" applyFont="1" applyFill="1" applyAlignment="1" applyProtection="1">
      <alignment horizontal="right"/>
    </xf>
    <xf numFmtId="3" fontId="2" fillId="2" borderId="0" xfId="2" applyNumberFormat="1" applyFont="1" applyFill="1" applyAlignment="1" applyProtection="1">
      <alignment horizontal="right"/>
    </xf>
    <xf numFmtId="3" fontId="0" fillId="2" borderId="0" xfId="2" applyNumberFormat="1" applyFont="1" applyFill="1" applyAlignment="1" applyProtection="1">
      <alignment horizontal="right"/>
    </xf>
    <xf numFmtId="170" fontId="0" fillId="0" borderId="1" xfId="2" applyNumberFormat="1" applyFont="1" applyFill="1" applyBorder="1" applyAlignment="1" applyProtection="1">
      <alignment horizontal="right"/>
      <protection locked="0"/>
    </xf>
    <xf numFmtId="170" fontId="0" fillId="0" borderId="1" xfId="0" applyNumberFormat="1" applyFill="1" applyBorder="1" applyAlignment="1" applyProtection="1">
      <alignment horizontal="right"/>
      <protection locked="0"/>
    </xf>
    <xf numFmtId="3" fontId="1" fillId="2" borderId="0" xfId="2" applyNumberFormat="1" applyFont="1" applyFill="1" applyBorder="1" applyAlignment="1" applyProtection="1">
      <alignment horizontal="right"/>
    </xf>
    <xf numFmtId="3" fontId="1" fillId="2" borderId="0" xfId="0" applyNumberFormat="1" applyFont="1" applyFill="1" applyBorder="1" applyAlignment="1" applyProtection="1">
      <alignment horizontal="right"/>
    </xf>
    <xf numFmtId="3" fontId="0" fillId="2" borderId="0" xfId="2" applyNumberFormat="1" applyFont="1" applyFill="1" applyBorder="1" applyAlignment="1" applyProtection="1">
      <alignment horizontal="right"/>
    </xf>
    <xf numFmtId="3" fontId="0" fillId="2" borderId="0" xfId="0" applyNumberFormat="1" applyFill="1" applyBorder="1" applyAlignment="1" applyProtection="1">
      <alignment horizontal="right"/>
    </xf>
    <xf numFmtId="170" fontId="1" fillId="2" borderId="0" xfId="2" applyNumberFormat="1" applyFont="1" applyFill="1" applyBorder="1" applyAlignment="1" applyProtection="1">
      <alignment horizontal="right"/>
    </xf>
    <xf numFmtId="0" fontId="7" fillId="0" borderId="1" xfId="0" applyFont="1" applyFill="1" applyBorder="1" applyAlignment="1" applyProtection="1">
      <alignment horizontal="right"/>
      <protection locked="0"/>
    </xf>
    <xf numFmtId="166" fontId="9" fillId="0" borderId="4" xfId="0" applyNumberFormat="1" applyFont="1" applyFill="1" applyBorder="1" applyAlignment="1" applyProtection="1">
      <alignment horizontal="right"/>
      <protection locked="0"/>
    </xf>
    <xf numFmtId="0" fontId="2" fillId="0" borderId="1" xfId="0" applyFont="1" applyFill="1" applyBorder="1" applyAlignment="1" applyProtection="1">
      <alignment horizontal="right"/>
      <protection locked="0"/>
    </xf>
    <xf numFmtId="0" fontId="1" fillId="2" borderId="0" xfId="0" applyFont="1" applyFill="1" applyAlignment="1" applyProtection="1">
      <alignment horizontal="left" vertical="top"/>
    </xf>
    <xf numFmtId="0" fontId="1" fillId="2" borderId="0" xfId="0" applyFont="1" applyFill="1" applyAlignment="1" applyProtection="1">
      <alignment horizontal="left"/>
    </xf>
    <xf numFmtId="0" fontId="2" fillId="2" borderId="0" xfId="1" applyFill="1" applyAlignment="1" applyProtection="1"/>
    <xf numFmtId="169" fontId="2" fillId="2" borderId="0" xfId="2" applyNumberFormat="1" applyFont="1" applyFill="1" applyAlignment="1" applyProtection="1"/>
    <xf numFmtId="169" fontId="1" fillId="2" borderId="0" xfId="2" applyNumberFormat="1" applyFont="1" applyFill="1" applyAlignment="1" applyProtection="1"/>
    <xf numFmtId="169" fontId="18" fillId="2" borderId="0" xfId="2" applyNumberFormat="1" applyFont="1" applyFill="1" applyAlignment="1" applyProtection="1"/>
    <xf numFmtId="168" fontId="1" fillId="2" borderId="0" xfId="2" applyNumberFormat="1" applyFont="1" applyFill="1" applyAlignment="1" applyProtection="1"/>
    <xf numFmtId="0" fontId="4" fillId="2" borderId="0" xfId="0" applyFont="1" applyFill="1" applyAlignment="1" applyProtection="1">
      <alignment horizontal="left"/>
    </xf>
    <xf numFmtId="1" fontId="2" fillId="2" borderId="0" xfId="0" applyNumberFormat="1" applyFont="1" applyFill="1" applyAlignment="1" applyProtection="1"/>
    <xf numFmtId="2" fontId="2" fillId="2" borderId="0" xfId="0" applyNumberFormat="1" applyFont="1" applyFill="1" applyAlignment="1" applyProtection="1">
      <alignment horizontal="left"/>
    </xf>
    <xf numFmtId="1" fontId="1" fillId="2" borderId="0" xfId="0" applyNumberFormat="1" applyFont="1" applyFill="1" applyBorder="1" applyAlignment="1" applyProtection="1">
      <alignment horizontal="left"/>
    </xf>
    <xf numFmtId="1" fontId="1" fillId="2" borderId="0" xfId="0" applyNumberFormat="1" applyFont="1" applyFill="1" applyAlignment="1" applyProtection="1">
      <alignment horizontal="left"/>
    </xf>
    <xf numFmtId="0" fontId="2" fillId="2" borderId="0" xfId="0" applyFont="1" applyFill="1" applyAlignment="1" applyProtection="1">
      <alignment horizontal="left" vertical="top"/>
    </xf>
    <xf numFmtId="0" fontId="1" fillId="2" borderId="0" xfId="0" applyFont="1" applyFill="1" applyBorder="1" applyAlignment="1" applyProtection="1">
      <alignment horizontal="left"/>
    </xf>
    <xf numFmtId="165" fontId="13" fillId="3" borderId="0" xfId="0" applyNumberFormat="1" applyFont="1" applyFill="1" applyAlignment="1" applyProtection="1">
      <alignment horizontal="center"/>
      <protection locked="0"/>
    </xf>
    <xf numFmtId="0" fontId="2" fillId="2" borderId="0" xfId="0" applyFont="1" applyFill="1" applyAlignment="1" applyProtection="1">
      <alignment horizontal="center"/>
    </xf>
    <xf numFmtId="0" fontId="24" fillId="0" borderId="0" xfId="0" applyFont="1" applyAlignment="1">
      <alignment horizontal="left" vertical="center" readingOrder="1"/>
    </xf>
    <xf numFmtId="0" fontId="4" fillId="2" borderId="0" xfId="0" applyFont="1" applyFill="1" applyBorder="1" applyAlignment="1" applyProtection="1">
      <alignment horizontal="left" wrapText="1"/>
    </xf>
    <xf numFmtId="0" fontId="16" fillId="2" borderId="0" xfId="0" applyFont="1" applyFill="1" applyBorder="1" applyAlignment="1" applyProtection="1"/>
    <xf numFmtId="0" fontId="21" fillId="2" borderId="0" xfId="3" applyFont="1" applyFill="1" applyBorder="1" applyAlignment="1" applyProtection="1">
      <protection locked="0"/>
    </xf>
    <xf numFmtId="0" fontId="21" fillId="2" borderId="0" xfId="3" applyFont="1" applyFill="1" applyBorder="1" applyAlignment="1" applyProtection="1"/>
    <xf numFmtId="0" fontId="18" fillId="2" borderId="0" xfId="0" applyFont="1" applyFill="1" applyBorder="1" applyAlignment="1" applyProtection="1">
      <alignment horizontal="left"/>
    </xf>
    <xf numFmtId="0" fontId="9" fillId="2" borderId="0" xfId="0" applyFont="1" applyFill="1" applyBorder="1" applyAlignment="1" applyProtection="1"/>
    <xf numFmtId="0" fontId="8" fillId="2" borderId="0" xfId="0" applyFont="1" applyFill="1" applyBorder="1" applyAlignment="1" applyProtection="1"/>
    <xf numFmtId="0" fontId="0" fillId="2" borderId="0" xfId="0" applyNumberFormat="1" applyFill="1" applyAlignment="1" applyProtection="1"/>
    <xf numFmtId="171" fontId="9" fillId="2" borderId="0" xfId="0" applyNumberFormat="1" applyFont="1" applyFill="1" applyAlignment="1" applyProtection="1"/>
    <xf numFmtId="0" fontId="2" fillId="2" borderId="0" xfId="0" applyFont="1" applyFill="1" applyAlignment="1" applyProtection="1">
      <alignment horizontal="left"/>
    </xf>
    <xf numFmtId="0" fontId="2" fillId="2" borderId="0" xfId="0" applyFont="1" applyFill="1" applyAlignment="1" applyProtection="1">
      <alignment horizontal="center"/>
    </xf>
    <xf numFmtId="0" fontId="2" fillId="2" borderId="0" xfId="0" applyFont="1" applyFill="1" applyBorder="1" applyAlignment="1" applyProtection="1">
      <alignment horizontal="center"/>
    </xf>
    <xf numFmtId="0" fontId="2" fillId="2" borderId="0" xfId="0" applyFont="1" applyFill="1" applyAlignment="1" applyProtection="1">
      <alignment horizontal="left" vertical="top" wrapText="1"/>
    </xf>
    <xf numFmtId="0" fontId="2" fillId="2" borderId="0" xfId="0" applyFont="1" applyFill="1" applyAlignment="1" applyProtection="1">
      <alignment horizontal="left" wrapText="1"/>
    </xf>
    <xf numFmtId="0" fontId="13" fillId="2" borderId="0" xfId="0" applyFont="1" applyFill="1" applyAlignment="1" applyProtection="1">
      <alignment horizontal="left" wrapText="1"/>
    </xf>
    <xf numFmtId="0" fontId="4" fillId="2" borderId="0" xfId="0" applyFont="1" applyFill="1" applyBorder="1" applyAlignment="1" applyProtection="1">
      <alignment horizontal="left" wrapText="1"/>
    </xf>
    <xf numFmtId="0" fontId="2" fillId="2" borderId="0" xfId="0" applyFont="1" applyFill="1" applyAlignment="1" applyProtection="1">
      <alignment horizontal="left"/>
    </xf>
    <xf numFmtId="0" fontId="2" fillId="0" borderId="3" xfId="0" applyFont="1" applyFill="1" applyBorder="1" applyAlignment="1" applyProtection="1">
      <alignment horizontal="left"/>
      <protection locked="0"/>
    </xf>
    <xf numFmtId="0" fontId="2" fillId="0" borderId="12" xfId="0" applyFont="1" applyFill="1" applyBorder="1" applyAlignment="1" applyProtection="1">
      <alignment horizontal="left"/>
      <protection locked="0"/>
    </xf>
    <xf numFmtId="0" fontId="2" fillId="0" borderId="13" xfId="0" applyFont="1" applyFill="1" applyBorder="1" applyAlignment="1" applyProtection="1">
      <alignment horizontal="left"/>
      <protection locked="0"/>
    </xf>
    <xf numFmtId="0" fontId="16" fillId="2" borderId="0" xfId="0" applyFont="1" applyFill="1" applyBorder="1" applyAlignment="1" applyProtection="1">
      <alignment horizontal="center" wrapText="1"/>
    </xf>
    <xf numFmtId="0" fontId="14" fillId="2" borderId="0" xfId="0" applyFont="1" applyFill="1" applyAlignment="1" applyProtection="1">
      <alignment horizontal="left" wrapText="1"/>
    </xf>
    <xf numFmtId="0" fontId="5" fillId="2" borderId="0" xfId="0" applyFont="1" applyFill="1" applyAlignment="1" applyProtection="1">
      <alignment horizontal="left"/>
    </xf>
    <xf numFmtId="1" fontId="1" fillId="2" borderId="0" xfId="0" applyNumberFormat="1" applyFont="1" applyFill="1" applyAlignment="1" applyProtection="1">
      <alignment horizontal="left" wrapText="1"/>
    </xf>
    <xf numFmtId="0" fontId="2" fillId="2" borderId="0" xfId="0" applyFont="1" applyFill="1" applyAlignment="1" applyProtection="1">
      <alignment horizontal="center"/>
    </xf>
    <xf numFmtId="0" fontId="2" fillId="2" borderId="0" xfId="0" applyFont="1" applyFill="1" applyBorder="1" applyAlignment="1" applyProtection="1">
      <alignment horizontal="center"/>
    </xf>
    <xf numFmtId="0" fontId="9" fillId="2" borderId="0" xfId="0" applyFont="1" applyFill="1" applyAlignment="1" applyProtection="1">
      <alignment horizontal="left" wrapText="1"/>
    </xf>
    <xf numFmtId="0" fontId="25" fillId="2" borderId="0" xfId="0" applyFont="1" applyFill="1" applyAlignment="1" applyProtection="1">
      <alignment horizontal="right"/>
    </xf>
    <xf numFmtId="0" fontId="2" fillId="3" borderId="0" xfId="0" applyFont="1" applyFill="1" applyBorder="1" applyAlignment="1" applyProtection="1"/>
    <xf numFmtId="0" fontId="2" fillId="2" borderId="0" xfId="0" applyFont="1" applyFill="1" applyAlignment="1" applyProtection="1">
      <alignment horizontal="center" wrapText="1"/>
    </xf>
    <xf numFmtId="0" fontId="2" fillId="2" borderId="0" xfId="0" applyFont="1" applyFill="1" applyBorder="1" applyAlignment="1" applyProtection="1">
      <alignment horizontal="center" wrapText="1"/>
    </xf>
    <xf numFmtId="0" fontId="15" fillId="2" borderId="0" xfId="0" applyFont="1" applyFill="1" applyBorder="1" applyAlignment="1" applyProtection="1"/>
  </cellXfs>
  <cellStyles count="5">
    <cellStyle name="Komma" xfId="2" builtinId="3"/>
    <cellStyle name="Link" xfId="3" builtinId="8"/>
    <cellStyle name="Normal 2" xfId="1" xr:uid="{00000000-0005-0000-0000-000003000000}"/>
    <cellStyle name="Prozent" xfId="4" builtinId="5"/>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030919858698043"/>
          <c:y val="4.0479980652824904E-2"/>
          <c:w val="0.62035069952986099"/>
          <c:h val="0.82253492953862972"/>
        </c:manualLayout>
      </c:layout>
      <c:barChart>
        <c:barDir val="col"/>
        <c:grouping val="stacked"/>
        <c:varyColors val="0"/>
        <c:ser>
          <c:idx val="0"/>
          <c:order val="0"/>
          <c:tx>
            <c:strRef>
              <c:f>Grafik!$A$3</c:f>
              <c:strCache>
                <c:ptCount val="1"/>
                <c:pt idx="0">
                  <c:v>Kapitalkosten</c:v>
                </c:pt>
              </c:strCache>
            </c:strRef>
          </c:tx>
          <c:spPr>
            <a:solidFill>
              <a:schemeClr val="accent1">
                <a:lumMod val="50000"/>
              </a:schemeClr>
            </a:solidFill>
            <a:ln w="12700">
              <a:solidFill>
                <a:schemeClr val="accent1">
                  <a:lumMod val="50000"/>
                </a:schemeClr>
              </a:solidFill>
              <a:prstDash val="solid"/>
            </a:ln>
          </c:spPr>
          <c:invertIfNegative val="0"/>
          <c:cat>
            <c:strRef>
              <c:f>Grafik!$B$2:$J$2</c:f>
              <c:strCache>
                <c:ptCount val="9"/>
                <c:pt idx="0">
                  <c:v>Ölkessel</c:v>
                </c:pt>
                <c:pt idx="1">
                  <c:v>Gaskessel</c:v>
                </c:pt>
                <c:pt idx="2">
                  <c:v>WP Sole</c:v>
                </c:pt>
                <c:pt idx="3">
                  <c:v>WP Luft</c:v>
                </c:pt>
                <c:pt idx="4">
                  <c:v>Pellet</c:v>
                </c:pt>
                <c:pt idx="5">
                  <c:v>Pellet/Sonne</c:v>
                </c:pt>
                <c:pt idx="6">
                  <c:v>Öl/Sonne</c:v>
                </c:pt>
                <c:pt idx="7">
                  <c:v>Gas/Sonne</c:v>
                </c:pt>
                <c:pt idx="8">
                  <c:v>Fernwärme</c:v>
                </c:pt>
              </c:strCache>
            </c:strRef>
          </c:cat>
          <c:val>
            <c:numRef>
              <c:f>Grafik!$B$3:$J$3</c:f>
              <c:numCache>
                <c:formatCode>0</c:formatCode>
                <c:ptCount val="9"/>
                <c:pt idx="0">
                  <c:v>3472.5376906397155</c:v>
                </c:pt>
                <c:pt idx="1">
                  <c:v>2829.359526222865</c:v>
                </c:pt>
                <c:pt idx="2">
                  <c:v>5779.94099596448</c:v>
                </c:pt>
                <c:pt idx="3">
                  <c:v>4568.1567854500854</c:v>
                </c:pt>
                <c:pt idx="4">
                  <c:v>3870.5381479545495</c:v>
                </c:pt>
                <c:pt idx="5">
                  <c:v>5022.1758813701863</c:v>
                </c:pt>
                <c:pt idx="6">
                  <c:v>4622.334454775897</c:v>
                </c:pt>
                <c:pt idx="7">
                  <c:v>3958.8162194810179</c:v>
                </c:pt>
                <c:pt idx="8">
                  <c:v>0</c:v>
                </c:pt>
              </c:numCache>
            </c:numRef>
          </c:val>
          <c:extLst>
            <c:ext xmlns:c16="http://schemas.microsoft.com/office/drawing/2014/chart" uri="{C3380CC4-5D6E-409C-BE32-E72D297353CC}">
              <c16:uniqueId val="{00000000-E3D6-482D-BE10-9DA019C7EE71}"/>
            </c:ext>
          </c:extLst>
        </c:ser>
        <c:ser>
          <c:idx val="1"/>
          <c:order val="1"/>
          <c:tx>
            <c:strRef>
              <c:f>Grafik!$A$4</c:f>
              <c:strCache>
                <c:ptCount val="1"/>
                <c:pt idx="0">
                  <c:v>Energiekosten</c:v>
                </c:pt>
              </c:strCache>
            </c:strRef>
          </c:tx>
          <c:spPr>
            <a:solidFill>
              <a:schemeClr val="accent1">
                <a:lumMod val="60000"/>
                <a:lumOff val="40000"/>
              </a:schemeClr>
            </a:solidFill>
            <a:ln w="12700">
              <a:solidFill>
                <a:schemeClr val="accent1">
                  <a:lumMod val="60000"/>
                  <a:lumOff val="40000"/>
                </a:schemeClr>
              </a:solidFill>
              <a:prstDash val="solid"/>
            </a:ln>
          </c:spPr>
          <c:invertIfNegative val="0"/>
          <c:cat>
            <c:strRef>
              <c:f>Grafik!$B$2:$J$2</c:f>
              <c:strCache>
                <c:ptCount val="9"/>
                <c:pt idx="0">
                  <c:v>Ölkessel</c:v>
                </c:pt>
                <c:pt idx="1">
                  <c:v>Gaskessel</c:v>
                </c:pt>
                <c:pt idx="2">
                  <c:v>WP Sole</c:v>
                </c:pt>
                <c:pt idx="3">
                  <c:v>WP Luft</c:v>
                </c:pt>
                <c:pt idx="4">
                  <c:v>Pellet</c:v>
                </c:pt>
                <c:pt idx="5">
                  <c:v>Pellet/Sonne</c:v>
                </c:pt>
                <c:pt idx="6">
                  <c:v>Öl/Sonne</c:v>
                </c:pt>
                <c:pt idx="7">
                  <c:v>Gas/Sonne</c:v>
                </c:pt>
                <c:pt idx="8">
                  <c:v>Fernwärme</c:v>
                </c:pt>
              </c:strCache>
            </c:strRef>
          </c:cat>
          <c:val>
            <c:numRef>
              <c:f>Grafik!$B$4:$J$4</c:f>
              <c:numCache>
                <c:formatCode>0</c:formatCode>
                <c:ptCount val="9"/>
                <c:pt idx="0">
                  <c:v>8511.4306363636333</c:v>
                </c:pt>
                <c:pt idx="1">
                  <c:v>6900.2962247524738</c:v>
                </c:pt>
                <c:pt idx="2">
                  <c:v>3790.2653637499998</c:v>
                </c:pt>
                <c:pt idx="3">
                  <c:v>4834.6268962499998</c:v>
                </c:pt>
                <c:pt idx="4">
                  <c:v>8016.0768529411744</c:v>
                </c:pt>
                <c:pt idx="5">
                  <c:v>7256.4691676470566</c:v>
                </c:pt>
                <c:pt idx="6">
                  <c:v>7759.4537724489774</c:v>
                </c:pt>
                <c:pt idx="7">
                  <c:v>6261.2666022772273</c:v>
                </c:pt>
                <c:pt idx="8">
                  <c:v>0</c:v>
                </c:pt>
              </c:numCache>
            </c:numRef>
          </c:val>
          <c:extLst>
            <c:ext xmlns:c16="http://schemas.microsoft.com/office/drawing/2014/chart" uri="{C3380CC4-5D6E-409C-BE32-E72D297353CC}">
              <c16:uniqueId val="{00000001-E3D6-482D-BE10-9DA019C7EE71}"/>
            </c:ext>
          </c:extLst>
        </c:ser>
        <c:ser>
          <c:idx val="2"/>
          <c:order val="2"/>
          <c:tx>
            <c:strRef>
              <c:f>Grafik!$A$5</c:f>
              <c:strCache>
                <c:ptCount val="1"/>
                <c:pt idx="0">
                  <c:v>Übrige Heizkosten</c:v>
                </c:pt>
              </c:strCache>
            </c:strRef>
          </c:tx>
          <c:spPr>
            <a:solidFill>
              <a:schemeClr val="bg2">
                <a:lumMod val="50000"/>
              </a:schemeClr>
            </a:solidFill>
            <a:ln w="12700">
              <a:solidFill>
                <a:schemeClr val="bg2">
                  <a:lumMod val="50000"/>
                </a:schemeClr>
              </a:solidFill>
              <a:prstDash val="solid"/>
            </a:ln>
          </c:spPr>
          <c:invertIfNegative val="0"/>
          <c:cat>
            <c:strRef>
              <c:f>Grafik!$B$2:$J$2</c:f>
              <c:strCache>
                <c:ptCount val="9"/>
                <c:pt idx="0">
                  <c:v>Ölkessel</c:v>
                </c:pt>
                <c:pt idx="1">
                  <c:v>Gaskessel</c:v>
                </c:pt>
                <c:pt idx="2">
                  <c:v>WP Sole</c:v>
                </c:pt>
                <c:pt idx="3">
                  <c:v>WP Luft</c:v>
                </c:pt>
                <c:pt idx="4">
                  <c:v>Pellet</c:v>
                </c:pt>
                <c:pt idx="5">
                  <c:v>Pellet/Sonne</c:v>
                </c:pt>
                <c:pt idx="6">
                  <c:v>Öl/Sonne</c:v>
                </c:pt>
                <c:pt idx="7">
                  <c:v>Gas/Sonne</c:v>
                </c:pt>
                <c:pt idx="8">
                  <c:v>Fernwärme</c:v>
                </c:pt>
              </c:strCache>
            </c:strRef>
          </c:cat>
          <c:val>
            <c:numRef>
              <c:f>Grafik!$B$5:$J$5</c:f>
              <c:numCache>
                <c:formatCode>0</c:formatCode>
                <c:ptCount val="9"/>
                <c:pt idx="0">
                  <c:v>1153.36367</c:v>
                </c:pt>
                <c:pt idx="1">
                  <c:v>532</c:v>
                </c:pt>
                <c:pt idx="2">
                  <c:v>150</c:v>
                </c:pt>
                <c:pt idx="3">
                  <c:v>350</c:v>
                </c:pt>
                <c:pt idx="4">
                  <c:v>1026.7624744117647</c:v>
                </c:pt>
                <c:pt idx="5">
                  <c:v>1019.0862269705882</c:v>
                </c:pt>
                <c:pt idx="6">
                  <c:v>1145.7928877244897</c:v>
                </c:pt>
                <c:pt idx="7">
                  <c:v>532</c:v>
                </c:pt>
                <c:pt idx="8">
                  <c:v>0</c:v>
                </c:pt>
              </c:numCache>
            </c:numRef>
          </c:val>
          <c:extLst>
            <c:ext xmlns:c16="http://schemas.microsoft.com/office/drawing/2014/chart" uri="{C3380CC4-5D6E-409C-BE32-E72D297353CC}">
              <c16:uniqueId val="{00000002-E3D6-482D-BE10-9DA019C7EE71}"/>
            </c:ext>
          </c:extLst>
        </c:ser>
        <c:ser>
          <c:idx val="3"/>
          <c:order val="3"/>
          <c:tx>
            <c:strRef>
              <c:f>Grafik!$A$6</c:f>
              <c:strCache>
                <c:ptCount val="1"/>
                <c:pt idx="0">
                  <c:v>Anstieg CO2-Abgabe</c:v>
                </c:pt>
              </c:strCache>
            </c:strRef>
          </c:tx>
          <c:spPr>
            <a:solidFill>
              <a:schemeClr val="bg2">
                <a:lumMod val="90000"/>
              </a:schemeClr>
            </a:solidFill>
            <a:ln w="12700">
              <a:solidFill>
                <a:schemeClr val="bg2">
                  <a:lumMod val="90000"/>
                </a:schemeClr>
              </a:solidFill>
              <a:prstDash val="solid"/>
            </a:ln>
          </c:spPr>
          <c:invertIfNegative val="0"/>
          <c:cat>
            <c:strRef>
              <c:f>Grafik!$B$2:$J$2</c:f>
              <c:strCache>
                <c:ptCount val="9"/>
                <c:pt idx="0">
                  <c:v>Ölkessel</c:v>
                </c:pt>
                <c:pt idx="1">
                  <c:v>Gaskessel</c:v>
                </c:pt>
                <c:pt idx="2">
                  <c:v>WP Sole</c:v>
                </c:pt>
                <c:pt idx="3">
                  <c:v>WP Luft</c:v>
                </c:pt>
                <c:pt idx="4">
                  <c:v>Pellet</c:v>
                </c:pt>
                <c:pt idx="5">
                  <c:v>Pellet/Sonne</c:v>
                </c:pt>
                <c:pt idx="6">
                  <c:v>Öl/Sonne</c:v>
                </c:pt>
                <c:pt idx="7">
                  <c:v>Gas/Sonne</c:v>
                </c:pt>
                <c:pt idx="8">
                  <c:v>Fernwärme</c:v>
                </c:pt>
              </c:strCache>
            </c:strRef>
          </c:cat>
          <c:val>
            <c:numRef>
              <c:f>Grafik!$B$6:$J$6</c:f>
              <c:numCache>
                <c:formatCode>0</c:formatCode>
                <c:ptCount val="9"/>
                <c:pt idx="0">
                  <c:v>1924.7004129599991</c:v>
                </c:pt>
                <c:pt idx="1">
                  <c:v>1413.1254469812475</c:v>
                </c:pt>
                <c:pt idx="2">
                  <c:v>0</c:v>
                </c:pt>
                <c:pt idx="3">
                  <c:v>0</c:v>
                </c:pt>
                <c:pt idx="4">
                  <c:v>0</c:v>
                </c:pt>
                <c:pt idx="5">
                  <c:v>0</c:v>
                </c:pt>
                <c:pt idx="6">
                  <c:v>1749.9061917830197</c:v>
                </c:pt>
                <c:pt idx="7">
                  <c:v>1271.8129022831231</c:v>
                </c:pt>
                <c:pt idx="8">
                  <c:v>0</c:v>
                </c:pt>
              </c:numCache>
            </c:numRef>
          </c:val>
          <c:extLst>
            <c:ext xmlns:c16="http://schemas.microsoft.com/office/drawing/2014/chart" uri="{C3380CC4-5D6E-409C-BE32-E72D297353CC}">
              <c16:uniqueId val="{00000003-E3D6-482D-BE10-9DA019C7EE71}"/>
            </c:ext>
          </c:extLst>
        </c:ser>
        <c:ser>
          <c:idx val="5"/>
          <c:order val="4"/>
          <c:tx>
            <c:strRef>
              <c:f>Grafik!$A$7</c:f>
              <c:strCache>
                <c:ptCount val="1"/>
                <c:pt idx="0">
                  <c:v>Externe Kosten KEPZ</c:v>
                </c:pt>
              </c:strCache>
            </c:strRef>
          </c:tx>
          <c:spPr>
            <a:solidFill>
              <a:schemeClr val="tx1">
                <a:lumMod val="50000"/>
                <a:lumOff val="50000"/>
              </a:schemeClr>
            </a:solidFill>
            <a:ln w="12700">
              <a:solidFill>
                <a:schemeClr val="tx1">
                  <a:lumMod val="50000"/>
                  <a:lumOff val="50000"/>
                </a:schemeClr>
              </a:solidFill>
              <a:prstDash val="solid"/>
            </a:ln>
          </c:spPr>
          <c:invertIfNegative val="0"/>
          <c:cat>
            <c:strRef>
              <c:f>Grafik!$B$2:$J$2</c:f>
              <c:strCache>
                <c:ptCount val="9"/>
                <c:pt idx="0">
                  <c:v>Ölkessel</c:v>
                </c:pt>
                <c:pt idx="1">
                  <c:v>Gaskessel</c:v>
                </c:pt>
                <c:pt idx="2">
                  <c:v>WP Sole</c:v>
                </c:pt>
                <c:pt idx="3">
                  <c:v>WP Luft</c:v>
                </c:pt>
                <c:pt idx="4">
                  <c:v>Pellet</c:v>
                </c:pt>
                <c:pt idx="5">
                  <c:v>Pellet/Sonne</c:v>
                </c:pt>
                <c:pt idx="6">
                  <c:v>Öl/Sonne</c:v>
                </c:pt>
                <c:pt idx="7">
                  <c:v>Gas/Sonne</c:v>
                </c:pt>
                <c:pt idx="8">
                  <c:v>Fernwärme</c:v>
                </c:pt>
              </c:strCache>
            </c:strRef>
          </c:cat>
          <c:val>
            <c:numRef>
              <c:f>Grafik!$B$7:$J$7</c:f>
              <c:numCache>
                <c:formatCode>0</c:formatCode>
                <c:ptCount val="9"/>
                <c:pt idx="0">
                  <c:v>4168.1834999999983</c:v>
                </c:pt>
                <c:pt idx="1">
                  <c:v>2751.0011099999992</c:v>
                </c:pt>
                <c:pt idx="2">
                  <c:v>1273.6116249999998</c:v>
                </c:pt>
                <c:pt idx="3">
                  <c:v>1637.5006607142857</c:v>
                </c:pt>
                <c:pt idx="4">
                  <c:v>1618.2359470588231</c:v>
                </c:pt>
                <c:pt idx="5">
                  <c:v>1456.4123523529406</c:v>
                </c:pt>
                <c:pt idx="6">
                  <c:v>3789.6443862244896</c:v>
                </c:pt>
                <c:pt idx="7">
                  <c:v>2475.9009989999995</c:v>
                </c:pt>
                <c:pt idx="8">
                  <c:v>1650.6006659999996</c:v>
                </c:pt>
              </c:numCache>
            </c:numRef>
          </c:val>
          <c:extLst>
            <c:ext xmlns:c16="http://schemas.microsoft.com/office/drawing/2014/chart" uri="{C3380CC4-5D6E-409C-BE32-E72D297353CC}">
              <c16:uniqueId val="{00000004-E3D6-482D-BE10-9DA019C7EE71}"/>
            </c:ext>
          </c:extLst>
        </c:ser>
        <c:dLbls>
          <c:showLegendKey val="0"/>
          <c:showVal val="0"/>
          <c:showCatName val="0"/>
          <c:showSerName val="0"/>
          <c:showPercent val="0"/>
          <c:showBubbleSize val="0"/>
        </c:dLbls>
        <c:gapWidth val="150"/>
        <c:overlap val="100"/>
        <c:axId val="167951360"/>
        <c:axId val="170857216"/>
      </c:barChart>
      <c:catAx>
        <c:axId val="16795136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70857216"/>
        <c:crosses val="autoZero"/>
        <c:auto val="0"/>
        <c:lblAlgn val="ctr"/>
        <c:lblOffset val="100"/>
        <c:tickLblSkip val="1"/>
        <c:tickMarkSkip val="1"/>
        <c:noMultiLvlLbl val="0"/>
      </c:catAx>
      <c:valAx>
        <c:axId val="170857216"/>
        <c:scaling>
          <c:orientation val="minMax"/>
        </c:scaling>
        <c:delete val="0"/>
        <c:axPos val="l"/>
        <c:title>
          <c:tx>
            <c:rich>
              <a:bodyPr rot="-5400000" vert="horz"/>
              <a:lstStyle/>
              <a:p>
                <a:pPr>
                  <a:defRPr sz="1000" b="1"/>
                </a:pPr>
                <a:r>
                  <a:rPr lang="en-GB" sz="1000" b="1"/>
                  <a:t>Jahreskosten</a:t>
                </a:r>
                <a:r>
                  <a:rPr lang="en-GB" sz="1000" b="1" baseline="0"/>
                  <a:t> in Schweizer Franken</a:t>
                </a:r>
                <a:endParaRPr lang="en-GB" sz="1000" b="1"/>
              </a:p>
            </c:rich>
          </c:tx>
          <c:layout>
            <c:manualLayout>
              <c:xMode val="edge"/>
              <c:yMode val="edge"/>
              <c:x val="0.23587518774416638"/>
              <c:y val="0.1701405801517944"/>
            </c:manualLayout>
          </c:layout>
          <c:overlay val="0"/>
        </c:title>
        <c:numFmt formatCode="#,##0" sourceLinked="0"/>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67951360"/>
        <c:crosses val="autoZero"/>
        <c:crossBetween val="between"/>
      </c:valAx>
      <c:spPr>
        <a:solidFill>
          <a:srgbClr val="E3E3E3"/>
        </a:solidFill>
        <a:ln w="3175">
          <a:solidFill>
            <a:srgbClr val="808080"/>
          </a:solidFill>
          <a:prstDash val="solid"/>
        </a:ln>
      </c:spPr>
    </c:plotArea>
    <c:legend>
      <c:legendPos val="l"/>
      <c:layout>
        <c:manualLayout>
          <c:xMode val="edge"/>
          <c:yMode val="edge"/>
          <c:x val="3.8735048386127312E-2"/>
          <c:y val="0.27307883262559657"/>
          <c:w val="0.16261305123119152"/>
          <c:h val="0.42676909288777926"/>
        </c:manualLayout>
      </c:layout>
      <c:overlay val="0"/>
      <c:spPr>
        <a:solidFill>
          <a:srgbClr val="F8F8F8"/>
        </a:solidFill>
        <a:ln w="3175">
          <a:noFill/>
          <a:prstDash val="solid"/>
        </a:ln>
      </c:spPr>
      <c:txPr>
        <a:bodyPr/>
        <a:lstStyle/>
        <a:p>
          <a:pPr>
            <a:defRPr sz="10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8F8F8"/>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&amp;A</c:oddHeader>
      <c:oddFooter>Seite &amp;P</c:oddFooter>
    </c:headerFooter>
    <c:pageMargins b="1" l="0.75" r="0.75" t="1" header="0.51181102300000003" footer="0.51181102300000003"/>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943566374239057"/>
          <c:y val="8.0634183730016878E-2"/>
          <c:w val="0.62097210782049805"/>
          <c:h val="0.79068263287350615"/>
        </c:manualLayout>
      </c:layout>
      <c:barChart>
        <c:barDir val="col"/>
        <c:grouping val="clustered"/>
        <c:varyColors val="0"/>
        <c:ser>
          <c:idx val="3"/>
          <c:order val="0"/>
          <c:tx>
            <c:strRef>
              <c:f>'Kosten- &amp; Umweltbilanz'!$A$43</c:f>
              <c:strCache>
                <c:ptCount val="1"/>
                <c:pt idx="0">
                  <c:v>Ausstoss fossiles CO2 ab Kamin</c:v>
                </c:pt>
              </c:strCache>
            </c:strRef>
          </c:tx>
          <c:spPr>
            <a:solidFill>
              <a:schemeClr val="tx1">
                <a:lumMod val="25000"/>
                <a:lumOff val="75000"/>
              </a:schemeClr>
            </a:solidFill>
          </c:spPr>
          <c:invertIfNegative val="0"/>
          <c:cat>
            <c:strRef>
              <c:f>'Kosten- &amp; Umweltbilanz'!$D$42:$L$42</c:f>
              <c:strCache>
                <c:ptCount val="9"/>
                <c:pt idx="0">
                  <c:v>Ölkessel</c:v>
                </c:pt>
                <c:pt idx="1">
                  <c:v>Gaskessel</c:v>
                </c:pt>
                <c:pt idx="2">
                  <c:v>WP Sole Egalmix</c:v>
                </c:pt>
                <c:pt idx="3">
                  <c:v>WP Luft Egalmix</c:v>
                </c:pt>
                <c:pt idx="4">
                  <c:v>Pellet mit PF</c:v>
                </c:pt>
                <c:pt idx="5">
                  <c:v>Pellet Sonne mit PF</c:v>
                </c:pt>
                <c:pt idx="6">
                  <c:v>Öl/Sonne</c:v>
                </c:pt>
                <c:pt idx="7">
                  <c:v>Gas/Sonne</c:v>
                </c:pt>
                <c:pt idx="8">
                  <c:v>Fernwärme</c:v>
                </c:pt>
              </c:strCache>
            </c:strRef>
          </c:cat>
          <c:val>
            <c:numRef>
              <c:f>'Kosten- &amp; Umweltbilanz'!$D$43:$L$43</c:f>
              <c:numCache>
                <c:formatCode>_(* #,##0.00_);_(* \(#,##0.00\);_(* "-"??_);_(@_)</c:formatCode>
                <c:ptCount val="9"/>
                <c:pt idx="0">
                  <c:v>24.675646319999988</c:v>
                </c:pt>
                <c:pt idx="1">
                  <c:v>18.116992910015995</c:v>
                </c:pt>
                <c:pt idx="2">
                  <c:v>0</c:v>
                </c:pt>
                <c:pt idx="3">
                  <c:v>0</c:v>
                </c:pt>
                <c:pt idx="4">
                  <c:v>0</c:v>
                </c:pt>
                <c:pt idx="5">
                  <c:v>0</c:v>
                </c:pt>
                <c:pt idx="6">
                  <c:v>22.43469476644897</c:v>
                </c:pt>
                <c:pt idx="7">
                  <c:v>16.3052936190144</c:v>
                </c:pt>
                <c:pt idx="8">
                  <c:v>0</c:v>
                </c:pt>
              </c:numCache>
            </c:numRef>
          </c:val>
          <c:extLst>
            <c:ext xmlns:c16="http://schemas.microsoft.com/office/drawing/2014/chart" uri="{C3380CC4-5D6E-409C-BE32-E72D297353CC}">
              <c16:uniqueId val="{00000000-1E10-4878-981E-A8B36B31D545}"/>
            </c:ext>
          </c:extLst>
        </c:ser>
        <c:ser>
          <c:idx val="0"/>
          <c:order val="1"/>
          <c:tx>
            <c:strRef>
              <c:f>'Kosten- &amp; Umweltbilanz'!$A$44</c:f>
              <c:strCache>
                <c:ptCount val="1"/>
                <c:pt idx="0">
                  <c:v>Treibhausgasemissionen (CO2-eq)</c:v>
                </c:pt>
              </c:strCache>
            </c:strRef>
          </c:tx>
          <c:spPr>
            <a:solidFill>
              <a:schemeClr val="accent1"/>
            </a:solidFill>
            <a:ln w="12700">
              <a:solidFill>
                <a:schemeClr val="accent1"/>
              </a:solidFill>
            </a:ln>
          </c:spPr>
          <c:invertIfNegative val="0"/>
          <c:cat>
            <c:strRef>
              <c:f>'Kosten- &amp; Umweltbilanz'!$D$42:$L$42</c:f>
              <c:strCache>
                <c:ptCount val="9"/>
                <c:pt idx="0">
                  <c:v>Ölkessel</c:v>
                </c:pt>
                <c:pt idx="1">
                  <c:v>Gaskessel</c:v>
                </c:pt>
                <c:pt idx="2">
                  <c:v>WP Sole Egalmix</c:v>
                </c:pt>
                <c:pt idx="3">
                  <c:v>WP Luft Egalmix</c:v>
                </c:pt>
                <c:pt idx="4">
                  <c:v>Pellet mit PF</c:v>
                </c:pt>
                <c:pt idx="5">
                  <c:v>Pellet Sonne mit PF</c:v>
                </c:pt>
                <c:pt idx="6">
                  <c:v>Öl/Sonne</c:v>
                </c:pt>
                <c:pt idx="7">
                  <c:v>Gas/Sonne</c:v>
                </c:pt>
                <c:pt idx="8">
                  <c:v>Fernwärme</c:v>
                </c:pt>
              </c:strCache>
            </c:strRef>
          </c:cat>
          <c:val>
            <c:numRef>
              <c:f>'Kosten- &amp; Umweltbilanz'!$D$44:$L$44</c:f>
              <c:numCache>
                <c:formatCode>_(* #,##0.00_);_(* \(#,##0.00\);_(* "-"??_);_(@_)</c:formatCode>
                <c:ptCount val="9"/>
                <c:pt idx="0">
                  <c:v>29.562618392569071</c:v>
                </c:pt>
                <c:pt idx="1">
                  <c:v>23.266006991303282</c:v>
                </c:pt>
                <c:pt idx="2">
                  <c:v>5.4564003051201055</c:v>
                </c:pt>
                <c:pt idx="3">
                  <c:v>6.9602056812097519</c:v>
                </c:pt>
                <c:pt idx="4">
                  <c:v>4.3468550436809572</c:v>
                </c:pt>
                <c:pt idx="5">
                  <c:v>4.0612111008583636</c:v>
                </c:pt>
                <c:pt idx="6">
                  <c:v>27.026891549075138</c:v>
                </c:pt>
                <c:pt idx="7">
                  <c:v>21.088447853718456</c:v>
                </c:pt>
                <c:pt idx="8">
                  <c:v>9.9244500920511776</c:v>
                </c:pt>
              </c:numCache>
            </c:numRef>
          </c:val>
          <c:extLst>
            <c:ext xmlns:c16="http://schemas.microsoft.com/office/drawing/2014/chart" uri="{C3380CC4-5D6E-409C-BE32-E72D297353CC}">
              <c16:uniqueId val="{00000001-1E10-4878-981E-A8B36B31D545}"/>
            </c:ext>
          </c:extLst>
        </c:ser>
        <c:ser>
          <c:idx val="4"/>
          <c:order val="2"/>
          <c:tx>
            <c:v>Platzhalter</c:v>
          </c:tx>
          <c:spPr>
            <a:noFill/>
          </c:spPr>
          <c:invertIfNegative val="0"/>
          <c:cat>
            <c:strRef>
              <c:f>'Kosten- &amp; Umweltbilanz'!$D$42:$L$42</c:f>
              <c:strCache>
                <c:ptCount val="9"/>
                <c:pt idx="0">
                  <c:v>Ölkessel</c:v>
                </c:pt>
                <c:pt idx="1">
                  <c:v>Gaskessel</c:v>
                </c:pt>
                <c:pt idx="2">
                  <c:v>WP Sole Egalmix</c:v>
                </c:pt>
                <c:pt idx="3">
                  <c:v>WP Luft Egalmix</c:v>
                </c:pt>
                <c:pt idx="4">
                  <c:v>Pellet mit PF</c:v>
                </c:pt>
                <c:pt idx="5">
                  <c:v>Pellet Sonne mit PF</c:v>
                </c:pt>
                <c:pt idx="6">
                  <c:v>Öl/Sonne</c:v>
                </c:pt>
                <c:pt idx="7">
                  <c:v>Gas/Sonne</c:v>
                </c:pt>
                <c:pt idx="8">
                  <c:v>Fernwärme</c:v>
                </c:pt>
              </c:strCache>
            </c:strRef>
          </c:cat>
          <c:val>
            <c:numRef>
              <c:f>'Kosten- &amp; Umweltbilanz'!$D$46:$L$46</c:f>
              <c:numCache>
                <c:formatCode>0.000</c:formatCode>
                <c:ptCount val="9"/>
              </c:numCache>
            </c:numRef>
          </c:val>
          <c:extLst>
            <c:ext xmlns:c16="http://schemas.microsoft.com/office/drawing/2014/chart" uri="{C3380CC4-5D6E-409C-BE32-E72D297353CC}">
              <c16:uniqueId val="{00000002-1E10-4878-981E-A8B36B31D545}"/>
            </c:ext>
          </c:extLst>
        </c:ser>
        <c:dLbls>
          <c:showLegendKey val="0"/>
          <c:showVal val="0"/>
          <c:showCatName val="0"/>
          <c:showSerName val="0"/>
          <c:showPercent val="0"/>
          <c:showBubbleSize val="0"/>
        </c:dLbls>
        <c:gapWidth val="150"/>
        <c:axId val="171008384"/>
        <c:axId val="171009920"/>
      </c:barChart>
      <c:barChart>
        <c:barDir val="col"/>
        <c:grouping val="clustered"/>
        <c:varyColors val="0"/>
        <c:ser>
          <c:idx val="2"/>
          <c:order val="3"/>
          <c:tx>
            <c:v>Platzhalter2</c:v>
          </c:tx>
          <c:spPr>
            <a:noFill/>
          </c:spPr>
          <c:invertIfNegative val="0"/>
          <c:cat>
            <c:strLit>
              <c:ptCount val="9"/>
              <c:pt idx="0">
                <c:v>Ölkessel</c:v>
              </c:pt>
              <c:pt idx="1">
                <c:v>Gaskessel</c:v>
              </c:pt>
              <c:pt idx="2">
                <c:v>WP Sole Egalmix</c:v>
              </c:pt>
              <c:pt idx="3">
                <c:v>WP Luft Egalmix</c:v>
              </c:pt>
              <c:pt idx="4">
                <c:v>Pellet mit PF</c:v>
              </c:pt>
              <c:pt idx="5">
                <c:v>Pellet/Sonne</c:v>
              </c:pt>
              <c:pt idx="6">
                <c:v>Öl/Sonne</c:v>
              </c:pt>
              <c:pt idx="7">
                <c:v>Gas/Sonne</c:v>
              </c:pt>
              <c:pt idx="8">
                <c:v>Fernwärme</c:v>
              </c:pt>
            </c:strLit>
          </c:cat>
          <c:val>
            <c:numRef>
              <c:f>'Kosten- &amp; Umweltbilanz'!$D$46:$L$46</c:f>
              <c:numCache>
                <c:formatCode>0.000</c:formatCode>
                <c:ptCount val="9"/>
              </c:numCache>
            </c:numRef>
          </c:val>
          <c:extLst>
            <c:ext xmlns:c16="http://schemas.microsoft.com/office/drawing/2014/chart" uri="{C3380CC4-5D6E-409C-BE32-E72D297353CC}">
              <c16:uniqueId val="{00000003-1E10-4878-981E-A8B36B31D545}"/>
            </c:ext>
          </c:extLst>
        </c:ser>
        <c:ser>
          <c:idx val="5"/>
          <c:order val="4"/>
          <c:tx>
            <c:v>Platzhalter3</c:v>
          </c:tx>
          <c:spPr>
            <a:noFill/>
          </c:spPr>
          <c:invertIfNegative val="0"/>
          <c:cat>
            <c:strLit>
              <c:ptCount val="9"/>
              <c:pt idx="0">
                <c:v>Ölkessel</c:v>
              </c:pt>
              <c:pt idx="1">
                <c:v>Gaskessel</c:v>
              </c:pt>
              <c:pt idx="2">
                <c:v>WP Sole Egalmix</c:v>
              </c:pt>
              <c:pt idx="3">
                <c:v>WP Luft Egalmix</c:v>
              </c:pt>
              <c:pt idx="4">
                <c:v>Pellet mit PF</c:v>
              </c:pt>
              <c:pt idx="5">
                <c:v>Pellet/Sonne</c:v>
              </c:pt>
              <c:pt idx="6">
                <c:v>Öl/Sonne</c:v>
              </c:pt>
              <c:pt idx="7">
                <c:v>Gas/Sonne</c:v>
              </c:pt>
              <c:pt idx="8">
                <c:v>Fernwärme</c:v>
              </c:pt>
            </c:strLit>
          </c:cat>
          <c:val>
            <c:numRef>
              <c:f>'Kosten- &amp; Umweltbilanz'!$D$46:$L$46</c:f>
              <c:numCache>
                <c:formatCode>0.000</c:formatCode>
                <c:ptCount val="9"/>
              </c:numCache>
            </c:numRef>
          </c:val>
          <c:extLst>
            <c:ext xmlns:c16="http://schemas.microsoft.com/office/drawing/2014/chart" uri="{C3380CC4-5D6E-409C-BE32-E72D297353CC}">
              <c16:uniqueId val="{00000004-1E10-4878-981E-A8B36B31D545}"/>
            </c:ext>
          </c:extLst>
        </c:ser>
        <c:ser>
          <c:idx val="1"/>
          <c:order val="5"/>
          <c:tx>
            <c:strRef>
              <c:f>'Kosten- &amp; Umweltbilanz'!$A$45</c:f>
              <c:strCache>
                <c:ptCount val="1"/>
                <c:pt idx="0">
                  <c:v>Gesamtumweltbelastung (UBP 2013)</c:v>
                </c:pt>
              </c:strCache>
            </c:strRef>
          </c:tx>
          <c:spPr>
            <a:solidFill>
              <a:schemeClr val="accent1">
                <a:lumMod val="60000"/>
                <a:lumOff val="40000"/>
              </a:schemeClr>
            </a:solidFill>
            <a:ln w="12700">
              <a:solidFill>
                <a:schemeClr val="accent1">
                  <a:lumMod val="60000"/>
                  <a:lumOff val="40000"/>
                </a:schemeClr>
              </a:solidFill>
              <a:prstDash val="solid"/>
            </a:ln>
          </c:spPr>
          <c:invertIfNegative val="0"/>
          <c:cat>
            <c:strLit>
              <c:ptCount val="9"/>
              <c:pt idx="0">
                <c:v>Ölkessel</c:v>
              </c:pt>
              <c:pt idx="1">
                <c:v>Gaskessel</c:v>
              </c:pt>
              <c:pt idx="2">
                <c:v>WP Sole Egalmix</c:v>
              </c:pt>
              <c:pt idx="3">
                <c:v>WP Luft Egalmix</c:v>
              </c:pt>
              <c:pt idx="4">
                <c:v>Pellet mit PF</c:v>
              </c:pt>
              <c:pt idx="5">
                <c:v>Pellet/Sonne</c:v>
              </c:pt>
              <c:pt idx="6">
                <c:v>Öl/Sonne</c:v>
              </c:pt>
              <c:pt idx="7">
                <c:v>Gas/Sonne</c:v>
              </c:pt>
              <c:pt idx="8">
                <c:v>Fernwärme</c:v>
              </c:pt>
            </c:strLit>
          </c:cat>
          <c:val>
            <c:numRef>
              <c:f>'Kosten- &amp; Umweltbilanz'!$D$45:$L$45</c:f>
              <c:numCache>
                <c:formatCode>_(* #,##0.00_);_(* \(#,##0.00\);_(* "-"??_);_(@_)</c:formatCode>
                <c:ptCount val="9"/>
                <c:pt idx="0">
                  <c:v>22.004936428578478</c:v>
                </c:pt>
                <c:pt idx="1">
                  <c:v>14.129010663478553</c:v>
                </c:pt>
                <c:pt idx="2">
                  <c:v>11.747338419827436</c:v>
                </c:pt>
                <c:pt idx="3">
                  <c:v>14.74838236729709</c:v>
                </c:pt>
                <c:pt idx="4">
                  <c:v>9.4841388070891917</c:v>
                </c:pt>
                <c:pt idx="5">
                  <c:v>8.9293078821788558</c:v>
                </c:pt>
                <c:pt idx="6">
                  <c:v>20.400111892393912</c:v>
                </c:pt>
                <c:pt idx="7">
                  <c:v>13.10969255292928</c:v>
                </c:pt>
                <c:pt idx="8">
                  <c:v>8.3381825773689275</c:v>
                </c:pt>
              </c:numCache>
            </c:numRef>
          </c:val>
          <c:extLst>
            <c:ext xmlns:c16="http://schemas.microsoft.com/office/drawing/2014/chart" uri="{C3380CC4-5D6E-409C-BE32-E72D297353CC}">
              <c16:uniqueId val="{00000005-1E10-4878-981E-A8B36B31D545}"/>
            </c:ext>
          </c:extLst>
        </c:ser>
        <c:dLbls>
          <c:showLegendKey val="0"/>
          <c:showVal val="0"/>
          <c:showCatName val="0"/>
          <c:showSerName val="0"/>
          <c:showPercent val="0"/>
          <c:showBubbleSize val="0"/>
        </c:dLbls>
        <c:gapWidth val="150"/>
        <c:axId val="171054976"/>
        <c:axId val="171053056"/>
      </c:barChart>
      <c:catAx>
        <c:axId val="171008384"/>
        <c:scaling>
          <c:orientation val="minMax"/>
        </c:scaling>
        <c:delete val="0"/>
        <c:axPos val="b"/>
        <c:numFmt formatCode="General" sourceLinked="1"/>
        <c:majorTickMark val="out"/>
        <c:minorTickMark val="none"/>
        <c:tickLblPos val="nextTo"/>
        <c:spPr>
          <a:ln w="3175">
            <a:solidFill>
              <a:srgbClr val="000000"/>
            </a:solidFill>
            <a:prstDash val="solid"/>
          </a:ln>
        </c:spPr>
        <c:txPr>
          <a:bodyPr rot="780000" vert="horz"/>
          <a:lstStyle/>
          <a:p>
            <a:pPr>
              <a:defRPr sz="1000" b="0" i="0" u="none" strike="noStrike" baseline="0">
                <a:solidFill>
                  <a:srgbClr val="000000"/>
                </a:solidFill>
                <a:latin typeface="Arial"/>
                <a:ea typeface="Arial"/>
                <a:cs typeface="Arial"/>
              </a:defRPr>
            </a:pPr>
            <a:endParaRPr lang="de-DE"/>
          </a:p>
        </c:txPr>
        <c:crossAx val="171009920"/>
        <c:crosses val="autoZero"/>
        <c:auto val="0"/>
        <c:lblAlgn val="ctr"/>
        <c:lblOffset val="100"/>
        <c:tickLblSkip val="1"/>
        <c:tickMarkSkip val="1"/>
        <c:noMultiLvlLbl val="0"/>
      </c:catAx>
      <c:valAx>
        <c:axId val="171009920"/>
        <c:scaling>
          <c:orientation val="minMax"/>
        </c:scaling>
        <c:delete val="0"/>
        <c:axPos val="l"/>
        <c:title>
          <c:tx>
            <c:rich>
              <a:bodyPr/>
              <a:lstStyle/>
              <a:p>
                <a:pPr>
                  <a:defRPr sz="1000" b="0" i="0" u="none" strike="noStrike" baseline="0">
                    <a:solidFill>
                      <a:srgbClr val="000000"/>
                    </a:solidFill>
                    <a:latin typeface="Arial"/>
                    <a:ea typeface="Arial"/>
                    <a:cs typeface="Arial"/>
                  </a:defRPr>
                </a:pPr>
                <a:r>
                  <a:rPr lang="en-GB" b="0"/>
                  <a:t>Ausstoss fossiles CO2 ab Kamin bzw. CO2-eq in Tonnen pro Jahr</a:t>
                </a:r>
              </a:p>
            </c:rich>
          </c:tx>
          <c:layout>
            <c:manualLayout>
              <c:xMode val="edge"/>
              <c:yMode val="edge"/>
              <c:x val="0.24044091337980475"/>
              <c:y val="8.8428608923884516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71008384"/>
        <c:crosses val="autoZero"/>
        <c:crossBetween val="between"/>
      </c:valAx>
      <c:valAx>
        <c:axId val="171053056"/>
        <c:scaling>
          <c:orientation val="minMax"/>
        </c:scaling>
        <c:delete val="0"/>
        <c:axPos val="r"/>
        <c:title>
          <c:tx>
            <c:rich>
              <a:bodyPr rot="-5400000" vert="horz"/>
              <a:lstStyle/>
              <a:p>
                <a:pPr>
                  <a:defRPr sz="1000" b="0"/>
                </a:pPr>
                <a:r>
                  <a:rPr lang="en-GB" sz="1000" b="0"/>
                  <a:t>Millionen</a:t>
                </a:r>
                <a:r>
                  <a:rPr lang="en-GB" sz="1000" b="0" baseline="0"/>
                  <a:t> UBP pro Jahr</a:t>
                </a:r>
                <a:endParaRPr lang="en-GB" sz="1000" b="0"/>
              </a:p>
            </c:rich>
          </c:tx>
          <c:layout>
            <c:manualLayout>
              <c:xMode val="edge"/>
              <c:yMode val="edge"/>
              <c:x val="0.97668500978753148"/>
              <c:y val="0.3122679790026246"/>
            </c:manualLayout>
          </c:layout>
          <c:overlay val="0"/>
        </c:title>
        <c:numFmt formatCode="0.0" sourceLinked="0"/>
        <c:majorTickMark val="out"/>
        <c:minorTickMark val="none"/>
        <c:tickLblPos val="nextTo"/>
        <c:txPr>
          <a:bodyPr/>
          <a:lstStyle/>
          <a:p>
            <a:pPr>
              <a:defRPr sz="1000"/>
            </a:pPr>
            <a:endParaRPr lang="de-DE"/>
          </a:p>
        </c:txPr>
        <c:crossAx val="171054976"/>
        <c:crosses val="max"/>
        <c:crossBetween val="between"/>
      </c:valAx>
      <c:catAx>
        <c:axId val="171054976"/>
        <c:scaling>
          <c:orientation val="minMax"/>
        </c:scaling>
        <c:delete val="1"/>
        <c:axPos val="b"/>
        <c:numFmt formatCode="General" sourceLinked="1"/>
        <c:majorTickMark val="out"/>
        <c:minorTickMark val="none"/>
        <c:tickLblPos val="nextTo"/>
        <c:crossAx val="171053056"/>
        <c:crosses val="autoZero"/>
        <c:auto val="1"/>
        <c:lblAlgn val="ctr"/>
        <c:lblOffset val="100"/>
        <c:noMultiLvlLbl val="0"/>
      </c:catAx>
      <c:spPr>
        <a:solidFill>
          <a:srgbClr val="E3E3E3"/>
        </a:solidFill>
        <a:ln w="12700">
          <a:solidFill>
            <a:srgbClr val="808080"/>
          </a:solidFill>
          <a:prstDash val="solid"/>
        </a:ln>
      </c:spPr>
    </c:plotArea>
    <c:legend>
      <c:legendPos val="l"/>
      <c:legendEntry>
        <c:idx val="2"/>
        <c:delete val="1"/>
      </c:legendEntry>
      <c:legendEntry>
        <c:idx val="3"/>
        <c:delete val="1"/>
      </c:legendEntry>
      <c:legendEntry>
        <c:idx val="4"/>
        <c:delete val="1"/>
      </c:legendEntry>
      <c:layout>
        <c:manualLayout>
          <c:xMode val="edge"/>
          <c:yMode val="edge"/>
          <c:x val="1.3152803907660066E-2"/>
          <c:y val="0.29872973849118201"/>
          <c:w val="0.17336458985800093"/>
          <c:h val="0.35669028871391079"/>
        </c:manualLayout>
      </c:layout>
      <c:overlay val="0"/>
      <c:txPr>
        <a:bodyPr/>
        <a:lstStyle/>
        <a:p>
          <a:pPr>
            <a:defRPr sz="1000"/>
          </a:pPr>
          <a:endParaRPr lang="de-DE"/>
        </a:p>
      </c:txPr>
    </c:legend>
    <c:plotVisOnly val="1"/>
    <c:dispBlanksAs val="gap"/>
    <c:showDLblsOverMax val="0"/>
  </c:chart>
  <c:spPr>
    <a:solidFill>
      <a:srgbClr val="F8F8F8"/>
    </a:solidFill>
    <a:ln w="9525">
      <a:noFill/>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1" l="0.75" r="0.75" t="1" header="0.4921259845" footer="0.4921259845"/>
    <c:pageSetup paperSize="9" orientation="landscape" horizontalDpi="-4"/>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1122</xdr:colOff>
      <xdr:row>33</xdr:row>
      <xdr:rowOff>100854</xdr:rowOff>
    </xdr:from>
    <xdr:to>
      <xdr:col>12</xdr:col>
      <xdr:colOff>627529</xdr:colOff>
      <xdr:row>34</xdr:row>
      <xdr:rowOff>0</xdr:rowOff>
    </xdr:to>
    <xdr:graphicFrame macro="">
      <xdr:nvGraphicFramePr>
        <xdr:cNvPr id="4" name="Chart 6">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0</xdr:rowOff>
    </xdr:from>
    <xdr:to>
      <xdr:col>12</xdr:col>
      <xdr:colOff>672353</xdr:colOff>
      <xdr:row>46</xdr:row>
      <xdr:rowOff>3810000</xdr:rowOff>
    </xdr:to>
    <xdr:graphicFrame macro="">
      <xdr:nvGraphicFramePr>
        <xdr:cNvPr id="6" name="Chart 9">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reeze_V8weiss">
  <a:themeElements>
    <a:clrScheme name="Benutzerdefiniert 2">
      <a:dk1>
        <a:srgbClr val="213138"/>
      </a:dk1>
      <a:lt1>
        <a:srgbClr val="F5F4F3"/>
      </a:lt1>
      <a:dk2>
        <a:srgbClr val="41545D"/>
      </a:dk2>
      <a:lt2>
        <a:srgbClr val="BCDADE"/>
      </a:lt2>
      <a:accent1>
        <a:srgbClr val="229DCE"/>
      </a:accent1>
      <a:accent2>
        <a:srgbClr val="A0003A"/>
      </a:accent2>
      <a:accent3>
        <a:srgbClr val="E47823"/>
      </a:accent3>
      <a:accent4>
        <a:srgbClr val="62AED5"/>
      </a:accent4>
      <a:accent5>
        <a:srgbClr val="CA6E78"/>
      </a:accent5>
      <a:accent6>
        <a:srgbClr val="F1B573"/>
      </a:accent6>
      <a:hlink>
        <a:srgbClr val="A0003A"/>
      </a:hlink>
      <a:folHlink>
        <a:srgbClr val="E47823"/>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wwf.ch/heize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P152"/>
  <sheetViews>
    <sheetView showGridLines="0" showZeros="0" tabSelected="1" topLeftCell="A58" zoomScale="85" zoomScaleNormal="85" workbookViewId="0">
      <selection activeCell="C78" sqref="C78"/>
    </sheetView>
  </sheetViews>
  <sheetFormatPr baseColWidth="10" defaultColWidth="9.109375" defaultRowHeight="13.2" x14ac:dyDescent="0.25"/>
  <cols>
    <col min="1" max="1" width="33.33203125" style="62" customWidth="1"/>
    <col min="2" max="2" width="5.33203125" style="56" customWidth="1"/>
    <col min="3" max="3" width="12.33203125" style="56" bestFit="1" customWidth="1"/>
    <col min="4" max="13" width="10.88671875" style="56" customWidth="1"/>
    <col min="14" max="14" width="119.33203125" style="86" customWidth="1"/>
    <col min="15" max="256" width="11.44140625" style="56" customWidth="1"/>
    <col min="257" max="16384" width="9.109375" style="56"/>
  </cols>
  <sheetData>
    <row r="1" spans="1:16" ht="17.399999999999999" x14ac:dyDescent="0.3">
      <c r="A1" s="164" t="s">
        <v>183</v>
      </c>
      <c r="B1" s="164"/>
      <c r="C1" s="164"/>
      <c r="D1" s="164"/>
      <c r="E1" s="164"/>
      <c r="F1" s="164"/>
      <c r="G1" s="164"/>
      <c r="H1" s="164"/>
      <c r="I1" s="39"/>
      <c r="K1" s="169"/>
      <c r="L1" s="169"/>
      <c r="N1" s="125" t="s">
        <v>152</v>
      </c>
    </row>
    <row r="2" spans="1:16" x14ac:dyDescent="0.25">
      <c r="A2" s="78" t="s">
        <v>180</v>
      </c>
      <c r="B2" s="158" t="s">
        <v>184</v>
      </c>
      <c r="C2" s="158"/>
      <c r="D2" s="158"/>
      <c r="N2" s="154" t="s">
        <v>220</v>
      </c>
    </row>
    <row r="3" spans="1:16" x14ac:dyDescent="0.25">
      <c r="C3" s="58"/>
      <c r="N3" s="154"/>
    </row>
    <row r="4" spans="1:16" x14ac:dyDescent="0.25">
      <c r="A4" s="158" t="s">
        <v>210</v>
      </c>
      <c r="B4" s="158"/>
      <c r="C4" s="158"/>
      <c r="D4" s="158"/>
      <c r="E4" s="158"/>
      <c r="F4" s="158"/>
      <c r="G4" s="158"/>
      <c r="H4" s="158"/>
      <c r="I4" s="158"/>
      <c r="J4" s="158"/>
      <c r="K4" s="158"/>
      <c r="L4" s="73"/>
    </row>
    <row r="5" spans="1:16" x14ac:dyDescent="0.25">
      <c r="A5" s="143"/>
      <c r="B5" s="73"/>
      <c r="C5" s="75"/>
      <c r="D5" s="73"/>
      <c r="E5" s="73"/>
      <c r="F5" s="73"/>
      <c r="G5" s="73"/>
      <c r="H5" s="73"/>
      <c r="I5" s="73"/>
      <c r="J5" s="73"/>
      <c r="K5" s="73"/>
      <c r="L5" s="73"/>
    </row>
    <row r="6" spans="1:16" s="60" customFormat="1" x14ac:dyDescent="0.25">
      <c r="A6" s="71" t="s">
        <v>185</v>
      </c>
      <c r="B6" s="75"/>
      <c r="C6" s="75"/>
      <c r="D6" s="76"/>
      <c r="E6" s="76"/>
      <c r="F6" s="77"/>
      <c r="G6" s="75"/>
      <c r="H6" s="76"/>
      <c r="I6" s="76"/>
      <c r="J6" s="76"/>
      <c r="K6" s="76"/>
      <c r="L6" s="76"/>
      <c r="M6" s="56"/>
      <c r="N6" s="126"/>
    </row>
    <row r="7" spans="1:16" s="60" customFormat="1" x14ac:dyDescent="0.25">
      <c r="A7" s="143"/>
      <c r="B7" s="75"/>
      <c r="C7" s="75"/>
      <c r="D7" s="76"/>
      <c r="E7" s="76"/>
      <c r="F7" s="77"/>
      <c r="G7" s="75"/>
      <c r="H7" s="76"/>
      <c r="I7" s="76"/>
      <c r="J7" s="76"/>
      <c r="K7" s="76"/>
      <c r="L7" s="76"/>
      <c r="M7" s="56"/>
      <c r="N7" s="126"/>
    </row>
    <row r="8" spans="1:16" s="60" customFormat="1" ht="12.75" customHeight="1" x14ac:dyDescent="0.25">
      <c r="A8" s="165" t="s">
        <v>186</v>
      </c>
      <c r="B8" s="165"/>
      <c r="C8" s="165"/>
      <c r="D8" s="165"/>
      <c r="E8" s="165"/>
      <c r="F8" s="165"/>
      <c r="G8" s="165"/>
      <c r="H8" s="165"/>
      <c r="I8" s="165"/>
      <c r="J8" s="165"/>
      <c r="K8" s="165"/>
      <c r="L8" s="165"/>
      <c r="M8" s="56"/>
      <c r="N8" s="126" t="s">
        <v>213</v>
      </c>
    </row>
    <row r="9" spans="1:16" s="60" customFormat="1" x14ac:dyDescent="0.25">
      <c r="A9" s="144" t="s">
        <v>172</v>
      </c>
      <c r="B9" s="57"/>
      <c r="C9" s="57"/>
      <c r="D9" s="40"/>
      <c r="E9" s="40"/>
      <c r="F9" s="87"/>
      <c r="G9" s="127"/>
      <c r="H9" s="40"/>
      <c r="I9" s="42"/>
      <c r="J9" s="41"/>
      <c r="M9" s="56"/>
      <c r="N9" s="126"/>
    </row>
    <row r="10" spans="1:16" s="60" customFormat="1" x14ac:dyDescent="0.25">
      <c r="A10" s="145"/>
      <c r="B10" s="57"/>
      <c r="C10" s="57"/>
      <c r="D10" s="40"/>
      <c r="E10" s="40"/>
      <c r="F10" s="87"/>
      <c r="G10" s="127"/>
      <c r="H10" s="40"/>
      <c r="I10" s="42"/>
      <c r="J10" s="41"/>
      <c r="M10" s="56"/>
      <c r="N10" s="126"/>
    </row>
    <row r="11" spans="1:16" ht="15.6" x14ac:dyDescent="0.3">
      <c r="A11" s="61" t="s">
        <v>0</v>
      </c>
      <c r="B11" s="62"/>
      <c r="K11" s="62"/>
      <c r="L11" s="62"/>
    </row>
    <row r="12" spans="1:16" ht="16.2" thickBot="1" x14ac:dyDescent="0.35">
      <c r="A12" s="61"/>
      <c r="B12" s="62"/>
      <c r="C12" s="62"/>
      <c r="K12" s="62"/>
      <c r="L12" s="62"/>
      <c r="N12" s="126"/>
    </row>
    <row r="13" spans="1:16" ht="13.8" thickBot="1" x14ac:dyDescent="0.3">
      <c r="A13" s="71" t="s">
        <v>166</v>
      </c>
      <c r="B13" s="62"/>
      <c r="D13" s="84">
        <v>1200</v>
      </c>
      <c r="E13" s="62" t="s">
        <v>1</v>
      </c>
      <c r="G13" s="43" t="s">
        <v>2</v>
      </c>
      <c r="H13" s="159" t="s">
        <v>187</v>
      </c>
      <c r="I13" s="160"/>
      <c r="J13" s="160"/>
      <c r="K13" s="160"/>
      <c r="L13" s="161"/>
      <c r="N13" s="64" t="s">
        <v>161</v>
      </c>
      <c r="O13" s="63"/>
      <c r="P13" s="63"/>
    </row>
    <row r="14" spans="1:16" x14ac:dyDescent="0.25">
      <c r="B14" s="62"/>
      <c r="C14" s="62"/>
      <c r="D14" s="62"/>
      <c r="E14" s="62"/>
      <c r="F14" s="62"/>
      <c r="G14" s="62"/>
      <c r="H14" s="62"/>
      <c r="I14" s="62"/>
      <c r="J14" s="62"/>
      <c r="K14" s="62"/>
      <c r="L14" s="62"/>
      <c r="N14" s="64"/>
      <c r="O14" s="63"/>
      <c r="P14" s="63"/>
    </row>
    <row r="15" spans="1:16" x14ac:dyDescent="0.25">
      <c r="A15" s="78" t="s">
        <v>149</v>
      </c>
      <c r="B15" s="62"/>
      <c r="C15" s="62"/>
      <c r="D15" s="62"/>
      <c r="E15" s="62"/>
      <c r="F15" s="62"/>
      <c r="G15" s="62"/>
      <c r="H15" s="62"/>
      <c r="I15" s="62"/>
      <c r="J15" s="62"/>
      <c r="K15" s="62"/>
      <c r="L15" s="62"/>
      <c r="N15" s="64"/>
      <c r="O15" s="63"/>
      <c r="P15" s="63"/>
    </row>
    <row r="16" spans="1:16" x14ac:dyDescent="0.25">
      <c r="A16" s="43" t="s">
        <v>4</v>
      </c>
      <c r="C16" s="88" t="s">
        <v>221</v>
      </c>
      <c r="D16" s="88" t="s">
        <v>34</v>
      </c>
      <c r="E16" s="88" t="s">
        <v>35</v>
      </c>
      <c r="F16" s="153" t="s">
        <v>6</v>
      </c>
      <c r="G16" s="153" t="s">
        <v>7</v>
      </c>
      <c r="H16" s="45" t="s">
        <v>58</v>
      </c>
      <c r="I16" s="45" t="s">
        <v>60</v>
      </c>
      <c r="J16" s="45" t="s">
        <v>59</v>
      </c>
      <c r="K16" s="45" t="s">
        <v>62</v>
      </c>
      <c r="L16" s="45" t="s">
        <v>131</v>
      </c>
      <c r="N16" s="64" t="s">
        <v>162</v>
      </c>
      <c r="O16" s="63"/>
      <c r="P16" s="63"/>
    </row>
    <row r="17" spans="1:14" ht="13.8" thickBot="1" x14ac:dyDescent="0.3">
      <c r="A17" s="43" t="s">
        <v>8</v>
      </c>
      <c r="C17" s="45" t="s">
        <v>10</v>
      </c>
      <c r="D17" s="45" t="s">
        <v>57</v>
      </c>
      <c r="E17" s="45" t="s">
        <v>9</v>
      </c>
      <c r="F17" s="45" t="s">
        <v>10</v>
      </c>
      <c r="G17" s="45" t="s">
        <v>10</v>
      </c>
      <c r="H17" s="45" t="s">
        <v>63</v>
      </c>
      <c r="I17" s="45" t="s">
        <v>63</v>
      </c>
      <c r="J17" s="45" t="s">
        <v>57</v>
      </c>
      <c r="K17" s="45" t="s">
        <v>9</v>
      </c>
      <c r="L17" s="45" t="s">
        <v>10</v>
      </c>
      <c r="N17" s="64"/>
    </row>
    <row r="18" spans="1:14" ht="13.8" thickBot="1" x14ac:dyDescent="0.3">
      <c r="B18" s="80"/>
      <c r="C18" s="84"/>
      <c r="D18" s="84">
        <v>9262.6299999999992</v>
      </c>
      <c r="E18" s="84"/>
      <c r="F18" s="84"/>
      <c r="G18" s="84"/>
      <c r="H18" s="84"/>
      <c r="I18" s="84"/>
      <c r="J18" s="84"/>
      <c r="K18" s="84"/>
      <c r="L18" s="84"/>
      <c r="N18" s="155" t="s">
        <v>209</v>
      </c>
    </row>
    <row r="19" spans="1:14" x14ac:dyDescent="0.25">
      <c r="B19" s="80"/>
      <c r="C19" s="62"/>
      <c r="D19" s="62"/>
      <c r="E19" s="62"/>
      <c r="F19" s="62"/>
      <c r="G19" s="62"/>
      <c r="H19" s="62"/>
      <c r="I19" s="62"/>
      <c r="J19" s="62"/>
      <c r="K19" s="62"/>
      <c r="L19" s="62"/>
      <c r="N19" s="155"/>
    </row>
    <row r="20" spans="1:14" x14ac:dyDescent="0.25">
      <c r="A20" s="83" t="s">
        <v>157</v>
      </c>
      <c r="D20" s="59" t="s">
        <v>163</v>
      </c>
      <c r="E20" s="65">
        <f>(C18*0.8)+(D18*D53*D54)+(E18*E53*E54)+(F18*F53*F54)+(G18*G53*G54)+(H18*H53*H54)+(I18*I53*I54)+(J18*J53*J54)+(K18*K53*K54)+(L18*L53*L54)</f>
        <v>91700.036999999982</v>
      </c>
      <c r="F20" s="43" t="s">
        <v>3</v>
      </c>
      <c r="H20" s="59" t="s">
        <v>164</v>
      </c>
      <c r="K20" s="65">
        <f>E20/D13</f>
        <v>76.416697499999984</v>
      </c>
      <c r="L20" s="64" t="s">
        <v>181</v>
      </c>
    </row>
    <row r="21" spans="1:14" x14ac:dyDescent="0.25">
      <c r="A21" s="66"/>
      <c r="D21" s="59"/>
      <c r="E21" s="67"/>
      <c r="F21" s="43"/>
      <c r="H21" s="59" t="s">
        <v>182</v>
      </c>
      <c r="K21" s="67">
        <f>K20*3.6</f>
        <v>275.10011099999997</v>
      </c>
      <c r="L21" s="64" t="s">
        <v>165</v>
      </c>
    </row>
    <row r="22" spans="1:14" ht="15.75" customHeight="1" x14ac:dyDescent="0.3">
      <c r="A22" s="157" t="s">
        <v>195</v>
      </c>
      <c r="B22" s="157"/>
      <c r="C22" s="157"/>
      <c r="D22" s="157"/>
      <c r="E22" s="157"/>
      <c r="F22" s="157"/>
      <c r="G22" s="157"/>
      <c r="H22" s="157"/>
      <c r="I22" s="157"/>
      <c r="J22" s="157"/>
      <c r="K22" s="157"/>
      <c r="L22" s="157"/>
      <c r="N22" s="86" t="s">
        <v>194</v>
      </c>
    </row>
    <row r="23" spans="1:14" x14ac:dyDescent="0.25">
      <c r="A23" s="158" t="s">
        <v>211</v>
      </c>
      <c r="B23" s="158"/>
      <c r="C23" s="158"/>
      <c r="D23" s="158"/>
      <c r="E23" s="158"/>
      <c r="F23" s="158"/>
      <c r="G23" s="158"/>
      <c r="H23" s="158"/>
      <c r="I23" s="158"/>
      <c r="J23" s="158"/>
      <c r="K23" s="158"/>
      <c r="L23" s="158"/>
    </row>
    <row r="24" spans="1:14" x14ac:dyDescent="0.25">
      <c r="A24" s="143"/>
    </row>
    <row r="25" spans="1:14" ht="12.75" customHeight="1" x14ac:dyDescent="0.25">
      <c r="A25" s="64"/>
      <c r="B25" s="86">
        <f t="shared" ref="B25:C25" si="0">B107</f>
        <v>0</v>
      </c>
      <c r="C25" s="86">
        <f t="shared" si="0"/>
        <v>0</v>
      </c>
      <c r="D25" s="87" t="str">
        <f>D16</f>
        <v>Ölkessel</v>
      </c>
      <c r="E25" s="140" t="str">
        <f t="shared" ref="E25:L25" si="1">E16</f>
        <v>Gaskessel</v>
      </c>
      <c r="F25" s="140" t="str">
        <f t="shared" si="1"/>
        <v>WP Sole</v>
      </c>
      <c r="G25" s="140" t="str">
        <f t="shared" si="1"/>
        <v>WP Luft</v>
      </c>
      <c r="H25" s="140" t="str">
        <f t="shared" si="1"/>
        <v>Pellet</v>
      </c>
      <c r="I25" s="140" t="str">
        <f t="shared" si="1"/>
        <v>Pellet/Sonne</v>
      </c>
      <c r="J25" s="140" t="str">
        <f t="shared" si="1"/>
        <v>Öl/Sonne</v>
      </c>
      <c r="K25" s="140" t="str">
        <f t="shared" si="1"/>
        <v>Gas/Sonne</v>
      </c>
      <c r="L25" s="152" t="str">
        <f t="shared" si="1"/>
        <v>Fernwärme</v>
      </c>
      <c r="N25" s="154" t="s">
        <v>212</v>
      </c>
    </row>
    <row r="26" spans="1:14" x14ac:dyDescent="0.25">
      <c r="A26" s="64" t="str">
        <f t="shared" ref="A26:B28" si="2">A108</f>
        <v>Kapitalkosten</v>
      </c>
      <c r="B26" s="86">
        <f t="shared" si="2"/>
        <v>0</v>
      </c>
      <c r="C26" s="86" t="s">
        <v>177</v>
      </c>
      <c r="D26" s="128">
        <f t="shared" ref="D26:K28" si="3">D108</f>
        <v>3472.5376906397155</v>
      </c>
      <c r="E26" s="128">
        <f t="shared" si="3"/>
        <v>2829.359526222865</v>
      </c>
      <c r="F26" s="128">
        <f t="shared" si="3"/>
        <v>5779.94099596448</v>
      </c>
      <c r="G26" s="128">
        <f t="shared" si="3"/>
        <v>4568.1567854500854</v>
      </c>
      <c r="H26" s="128">
        <f t="shared" si="3"/>
        <v>3870.5381479545495</v>
      </c>
      <c r="I26" s="128">
        <f t="shared" si="3"/>
        <v>5022.1758813701863</v>
      </c>
      <c r="J26" s="128">
        <f t="shared" si="3"/>
        <v>4622.334454775897</v>
      </c>
      <c r="K26" s="128">
        <f t="shared" si="3"/>
        <v>3958.8162194810179</v>
      </c>
      <c r="L26" s="129">
        <f>IF(ISERROR(L108),0,L108)</f>
        <v>0</v>
      </c>
      <c r="N26" s="154"/>
    </row>
    <row r="27" spans="1:14" x14ac:dyDescent="0.25">
      <c r="A27" s="64" t="str">
        <f t="shared" si="2"/>
        <v>Energiekosten</v>
      </c>
      <c r="B27" s="86">
        <f t="shared" si="2"/>
        <v>0</v>
      </c>
      <c r="C27" s="86" t="s">
        <v>177</v>
      </c>
      <c r="D27" s="128">
        <f t="shared" si="3"/>
        <v>8511.4306363636333</v>
      </c>
      <c r="E27" s="128">
        <f t="shared" si="3"/>
        <v>6900.2962247524738</v>
      </c>
      <c r="F27" s="128">
        <f t="shared" si="3"/>
        <v>3790.2653637499998</v>
      </c>
      <c r="G27" s="128">
        <f t="shared" si="3"/>
        <v>4834.6268962499998</v>
      </c>
      <c r="H27" s="128">
        <f t="shared" si="3"/>
        <v>8016.0768529411744</v>
      </c>
      <c r="I27" s="128">
        <f t="shared" si="3"/>
        <v>7256.4691676470566</v>
      </c>
      <c r="J27" s="128">
        <f t="shared" si="3"/>
        <v>7759.4537724489774</v>
      </c>
      <c r="K27" s="128">
        <f t="shared" si="3"/>
        <v>6261.2666022772273</v>
      </c>
      <c r="L27" s="129">
        <f>IF(ISERROR(L109),0,L109)</f>
        <v>0</v>
      </c>
    </row>
    <row r="28" spans="1:14" x14ac:dyDescent="0.25">
      <c r="A28" s="64" t="str">
        <f t="shared" si="2"/>
        <v>Übrige Heizkosten</v>
      </c>
      <c r="B28" s="86">
        <f t="shared" si="2"/>
        <v>0</v>
      </c>
      <c r="C28" s="86" t="s">
        <v>177</v>
      </c>
      <c r="D28" s="128">
        <f t="shared" si="3"/>
        <v>1153.36367</v>
      </c>
      <c r="E28" s="128">
        <f t="shared" si="3"/>
        <v>532</v>
      </c>
      <c r="F28" s="128">
        <f t="shared" si="3"/>
        <v>150</v>
      </c>
      <c r="G28" s="128">
        <f t="shared" si="3"/>
        <v>350</v>
      </c>
      <c r="H28" s="128">
        <f t="shared" si="3"/>
        <v>1026.7624744117647</v>
      </c>
      <c r="I28" s="128">
        <f t="shared" si="3"/>
        <v>1019.0862269705882</v>
      </c>
      <c r="J28" s="128">
        <f t="shared" si="3"/>
        <v>1145.7928877244897</v>
      </c>
      <c r="K28" s="128">
        <f t="shared" si="3"/>
        <v>532</v>
      </c>
      <c r="L28" s="129">
        <f>IF(ISERROR(L110),0,L110)</f>
        <v>0</v>
      </c>
    </row>
    <row r="29" spans="1:14" x14ac:dyDescent="0.25">
      <c r="A29" s="64" t="str">
        <f>A119</f>
        <v>Anstieg CO2-Abgabe über 96 Fr./t</v>
      </c>
      <c r="B29" s="86"/>
      <c r="C29" s="86" t="s">
        <v>177</v>
      </c>
      <c r="D29" s="128">
        <f t="shared" ref="D29:L29" si="4">D119</f>
        <v>1924.7004129599991</v>
      </c>
      <c r="E29" s="128">
        <f t="shared" si="4"/>
        <v>1413.1254469812475</v>
      </c>
      <c r="F29" s="128">
        <f t="shared" si="4"/>
        <v>0</v>
      </c>
      <c r="G29" s="128">
        <f t="shared" si="4"/>
        <v>0</v>
      </c>
      <c r="H29" s="128">
        <f t="shared" si="4"/>
        <v>0</v>
      </c>
      <c r="I29" s="128">
        <f t="shared" si="4"/>
        <v>0</v>
      </c>
      <c r="J29" s="128">
        <f t="shared" si="4"/>
        <v>1749.9061917830197</v>
      </c>
      <c r="K29" s="128">
        <f t="shared" si="4"/>
        <v>1271.8129022831231</v>
      </c>
      <c r="L29" s="128">
        <f t="shared" si="4"/>
        <v>0</v>
      </c>
    </row>
    <row r="30" spans="1:14" x14ac:dyDescent="0.25">
      <c r="A30" s="64" t="str">
        <f>A120</f>
        <v>Externe Kosten: KEPZ pro kWh</v>
      </c>
      <c r="B30" s="86">
        <f>B120</f>
        <v>0</v>
      </c>
      <c r="C30" s="86" t="s">
        <v>177</v>
      </c>
      <c r="D30" s="128">
        <f t="shared" ref="D30:L30" si="5">D121</f>
        <v>4168.1834999999983</v>
      </c>
      <c r="E30" s="128">
        <f t="shared" si="5"/>
        <v>2751.0011099999992</v>
      </c>
      <c r="F30" s="128">
        <f t="shared" si="5"/>
        <v>1273.6116249999998</v>
      </c>
      <c r="G30" s="128">
        <f t="shared" si="5"/>
        <v>1637.5006607142857</v>
      </c>
      <c r="H30" s="128">
        <f t="shared" si="5"/>
        <v>1618.2359470588231</v>
      </c>
      <c r="I30" s="128">
        <f t="shared" si="5"/>
        <v>1456.4123523529406</v>
      </c>
      <c r="J30" s="128">
        <f t="shared" si="5"/>
        <v>3789.6443862244896</v>
      </c>
      <c r="K30" s="128">
        <f t="shared" si="5"/>
        <v>2475.9009989999995</v>
      </c>
      <c r="L30" s="128">
        <f t="shared" si="5"/>
        <v>1650.6006659999996</v>
      </c>
    </row>
    <row r="31" spans="1:14" x14ac:dyDescent="0.25">
      <c r="A31" s="138" t="str">
        <f>A123</f>
        <v>Jahreskosten mit externen Kosten</v>
      </c>
      <c r="B31" s="126">
        <f>B123</f>
        <v>0</v>
      </c>
      <c r="C31" s="126" t="s">
        <v>177</v>
      </c>
      <c r="D31" s="129">
        <f t="shared" ref="D31:K31" si="6">D123</f>
        <v>19230.215909963346</v>
      </c>
      <c r="E31" s="129">
        <f t="shared" si="6"/>
        <v>14425.782307956584</v>
      </c>
      <c r="F31" s="129">
        <f t="shared" si="6"/>
        <v>10993.81798471448</v>
      </c>
      <c r="G31" s="129">
        <f t="shared" si="6"/>
        <v>11390.284342414372</v>
      </c>
      <c r="H31" s="129">
        <f t="shared" si="6"/>
        <v>14531.61342236631</v>
      </c>
      <c r="I31" s="129">
        <f t="shared" si="6"/>
        <v>14754.143628340771</v>
      </c>
      <c r="J31" s="129">
        <f t="shared" si="6"/>
        <v>19067.131692956875</v>
      </c>
      <c r="K31" s="129">
        <f t="shared" si="6"/>
        <v>14499.796723041369</v>
      </c>
      <c r="L31" s="129">
        <f>IF(ISERROR(L123),0,L22)</f>
        <v>0</v>
      </c>
    </row>
    <row r="32" spans="1:14" x14ac:dyDescent="0.25">
      <c r="A32" s="146"/>
      <c r="B32" s="77"/>
      <c r="C32" s="77"/>
      <c r="D32" s="130"/>
      <c r="E32" s="130"/>
      <c r="F32" s="130"/>
      <c r="G32" s="130"/>
      <c r="H32" s="130"/>
      <c r="I32" s="130"/>
      <c r="J32" s="130"/>
      <c r="K32" s="130"/>
      <c r="L32" s="130"/>
    </row>
    <row r="33" spans="1:14" x14ac:dyDescent="0.25">
      <c r="A33" s="138" t="str">
        <f t="shared" ref="A33:K33" si="7">A125</f>
        <v>Wärmepreis mit externen Kosten</v>
      </c>
      <c r="B33" s="77">
        <f t="shared" si="7"/>
        <v>0</v>
      </c>
      <c r="C33" s="126" t="str">
        <f t="shared" si="7"/>
        <v>Rp/kWh</v>
      </c>
      <c r="D33" s="131">
        <f t="shared" si="7"/>
        <v>20.970783152424847</v>
      </c>
      <c r="E33" s="131">
        <f t="shared" si="7"/>
        <v>15.731490171543319</v>
      </c>
      <c r="F33" s="131">
        <f t="shared" si="7"/>
        <v>11.98889154724603</v>
      </c>
      <c r="G33" s="131">
        <f t="shared" si="7"/>
        <v>12.421242907911122</v>
      </c>
      <c r="H33" s="131">
        <f t="shared" si="7"/>
        <v>15.846900282457153</v>
      </c>
      <c r="I33" s="131">
        <f t="shared" si="7"/>
        <v>16.089572164884487</v>
      </c>
      <c r="J33" s="131">
        <f t="shared" si="7"/>
        <v>20.792937840316114</v>
      </c>
      <c r="K33" s="131">
        <f t="shared" si="7"/>
        <v>15.81220378683312</v>
      </c>
      <c r="L33" s="129">
        <f>IF(ISERROR(L125),0,L125)</f>
        <v>1.7999999999999998</v>
      </c>
    </row>
    <row r="34" spans="1:14" ht="285" customHeight="1" x14ac:dyDescent="0.25">
      <c r="A34" s="162"/>
      <c r="B34" s="162"/>
      <c r="C34" s="162"/>
      <c r="D34" s="162"/>
      <c r="E34" s="162"/>
      <c r="F34" s="162"/>
      <c r="G34" s="162"/>
      <c r="H34" s="162"/>
      <c r="I34" s="162"/>
      <c r="J34" s="162"/>
      <c r="K34" s="162"/>
      <c r="L34" s="162"/>
      <c r="M34" s="162"/>
    </row>
    <row r="35" spans="1:14" x14ac:dyDescent="0.25">
      <c r="A35" s="155" t="s">
        <v>212</v>
      </c>
      <c r="B35" s="155"/>
      <c r="C35" s="155"/>
      <c r="D35" s="155"/>
      <c r="E35" s="155"/>
      <c r="F35" s="155"/>
      <c r="G35" s="155"/>
      <c r="H35" s="155"/>
      <c r="I35" s="155"/>
      <c r="J35" s="155"/>
      <c r="K35" s="155"/>
      <c r="L35" s="155"/>
      <c r="M35" s="155"/>
    </row>
    <row r="36" spans="1:14" x14ac:dyDescent="0.25">
      <c r="A36" s="155"/>
      <c r="B36" s="155"/>
      <c r="C36" s="155"/>
      <c r="D36" s="155"/>
      <c r="E36" s="155"/>
      <c r="F36" s="155"/>
      <c r="G36" s="155"/>
      <c r="H36" s="155"/>
      <c r="I36" s="155"/>
      <c r="J36" s="155"/>
      <c r="K36" s="155"/>
      <c r="L36" s="155"/>
      <c r="M36" s="155"/>
    </row>
    <row r="37" spans="1:14" ht="15.6" x14ac:dyDescent="0.3">
      <c r="A37" s="157"/>
      <c r="B37" s="157"/>
      <c r="C37" s="157"/>
      <c r="D37" s="157"/>
      <c r="E37" s="157"/>
      <c r="F37" s="157"/>
      <c r="G37" s="157"/>
      <c r="H37" s="157"/>
      <c r="I37" s="157"/>
      <c r="J37" s="157"/>
      <c r="K37" s="157"/>
      <c r="L37" s="157"/>
    </row>
    <row r="38" spans="1:14" ht="15.6" x14ac:dyDescent="0.3">
      <c r="A38" s="157" t="s">
        <v>175</v>
      </c>
      <c r="B38" s="157"/>
      <c r="C38" s="157"/>
      <c r="D38" s="157"/>
      <c r="E38" s="157"/>
      <c r="F38" s="157"/>
      <c r="G38" s="157"/>
      <c r="H38" s="157"/>
      <c r="I38" s="157"/>
      <c r="J38" s="157"/>
      <c r="K38" s="157"/>
      <c r="L38" s="157"/>
      <c r="N38" s="125" t="s">
        <v>152</v>
      </c>
    </row>
    <row r="39" spans="1:14" ht="15.6" x14ac:dyDescent="0.3">
      <c r="A39" s="142"/>
      <c r="B39" s="89"/>
      <c r="C39" s="89"/>
      <c r="D39" s="89"/>
      <c r="E39" s="89"/>
      <c r="F39" s="89"/>
      <c r="G39" s="89"/>
      <c r="H39" s="89"/>
      <c r="I39" s="89"/>
      <c r="J39" s="89"/>
      <c r="K39" s="89"/>
      <c r="L39" s="89"/>
    </row>
    <row r="40" spans="1:14" ht="15.6" x14ac:dyDescent="0.3">
      <c r="A40" s="61"/>
      <c r="B40" s="62"/>
      <c r="C40" s="62"/>
      <c r="D40" s="44"/>
      <c r="E40" s="44"/>
      <c r="F40" s="166" t="s">
        <v>132</v>
      </c>
      <c r="G40" s="166"/>
      <c r="H40" s="167" t="s">
        <v>176</v>
      </c>
      <c r="I40" s="167"/>
      <c r="J40" s="45"/>
      <c r="K40" s="44"/>
      <c r="L40" s="87" t="s">
        <v>170</v>
      </c>
    </row>
    <row r="41" spans="1:14" ht="12.75" customHeight="1" x14ac:dyDescent="0.25">
      <c r="A41" s="170" t="s">
        <v>136</v>
      </c>
      <c r="D41" s="52"/>
      <c r="E41" s="52"/>
      <c r="F41" s="139" t="s">
        <v>145</v>
      </c>
      <c r="G41" s="139" t="s">
        <v>145</v>
      </c>
      <c r="H41" s="139" t="s">
        <v>134</v>
      </c>
      <c r="I41" s="139" t="s">
        <v>134</v>
      </c>
      <c r="J41" s="53"/>
      <c r="K41" s="59"/>
      <c r="L41" s="139" t="s">
        <v>138</v>
      </c>
      <c r="N41" s="155" t="s">
        <v>219</v>
      </c>
    </row>
    <row r="42" spans="1:14" ht="39.6" x14ac:dyDescent="0.25">
      <c r="D42" s="44" t="str">
        <f>D16</f>
        <v>Ölkessel</v>
      </c>
      <c r="E42" s="44" t="str">
        <f>E16</f>
        <v>Gaskessel</v>
      </c>
      <c r="F42" s="171" t="str">
        <f>"WP Sole"&amp;" "&amp;F41</f>
        <v>WP Sole Egalmix</v>
      </c>
      <c r="G42" s="171" t="str">
        <f>"WP Luft"&amp;" "&amp;G41</f>
        <v>WP Luft Egalmix</v>
      </c>
      <c r="H42" s="172" t="str">
        <f>"Pellet"&amp;" "&amp;H41</f>
        <v>Pellet mit PF</v>
      </c>
      <c r="I42" s="172" t="str">
        <f>"Pellet Sonne"&amp;" "&amp;I41</f>
        <v>Pellet Sonne mit PF</v>
      </c>
      <c r="J42" s="153" t="s">
        <v>59</v>
      </c>
      <c r="K42" s="152" t="s">
        <v>62</v>
      </c>
      <c r="L42" s="171" t="s">
        <v>131</v>
      </c>
      <c r="N42" s="158"/>
    </row>
    <row r="43" spans="1:14" x14ac:dyDescent="0.25">
      <c r="A43" s="71" t="s">
        <v>188</v>
      </c>
      <c r="C43" s="59" t="s">
        <v>173</v>
      </c>
      <c r="D43" s="90">
        <f>0.074/1000*3.6*D52*D53</f>
        <v>24.675646319999988</v>
      </c>
      <c r="E43" s="90">
        <f>0.056*0.98/1000*3.6*E52*E53</f>
        <v>18.116992910015995</v>
      </c>
      <c r="F43" s="91">
        <v>0</v>
      </c>
      <c r="G43" s="91">
        <v>0</v>
      </c>
      <c r="H43" s="92">
        <v>0</v>
      </c>
      <c r="I43" s="93">
        <v>0</v>
      </c>
      <c r="J43" s="90">
        <f>0.074/1000*3.6*J52*J53</f>
        <v>22.43469476644897</v>
      </c>
      <c r="K43" s="90">
        <f>0.056*0.98/1000*3.6*K52*K53</f>
        <v>16.3052936190144</v>
      </c>
      <c r="L43" s="94">
        <v>0</v>
      </c>
      <c r="N43" s="158"/>
    </row>
    <row r="44" spans="1:14" x14ac:dyDescent="0.25">
      <c r="A44" s="62" t="s">
        <v>141</v>
      </c>
      <c r="C44" s="59" t="s">
        <v>173</v>
      </c>
      <c r="D44" s="90">
        <f>Umweltkennwerte!K6*3.6*E20/1000*1/D54</f>
        <v>29.562618392569071</v>
      </c>
      <c r="E44" s="90">
        <f>Umweltkennwerte!K7*3.6*E20/1000*(1/0.98)/E54</f>
        <v>23.266006991303282</v>
      </c>
      <c r="F44" s="90">
        <f>IF(F41=Grafik!B18,Umweltkennwerte!K9*3.6*E20/1000*3.9/F54,IF(F41=Grafik!B19,Umweltkennwerte!K29*3.6*E20/1000*3.9/F54,Grafik!F17))</f>
        <v>5.4564003051201055</v>
      </c>
      <c r="G44" s="90">
        <f>IF(G41=Grafik!B18,Umweltkennwerte!K8*3.6*E20/1000*2.8/G54,IF(G41=Grafik!B19,Umweltkennwerte!K23*3.6*E20/1000*2.8/G54,Grafik!F17))</f>
        <v>6.9602056812097519</v>
      </c>
      <c r="H44" s="90">
        <f>IF(H41=Grafik!C18,Umweltkennwerte!K10*3.6*E20/1000*(1/1.18)/H54,Umweltkennwerte!K11*3.6*E20/1000*(1/1.18)/H54)</f>
        <v>4.3468550436809572</v>
      </c>
      <c r="I44" s="90">
        <f>IF(I41=Grafik!C18,Umweltkennwerte!K10,Umweltkennwerte!K11)*3.6*E20/1000*(1-I56)*(1/1.18)/I54+Umweltkennwerte!K12*3.6*E20/1000*(I56)</f>
        <v>4.0612111008583636</v>
      </c>
      <c r="J44" s="90">
        <f>Umweltkennwerte!K6*3.6*E20/1000*(1-J56)*1/J54+Umweltkennwerte!K12*3.6*E20/1000*(J56)</f>
        <v>27.026891549075138</v>
      </c>
      <c r="K44" s="90">
        <f>Umweltkennwerte!K7*3.6*E20/1000*(1-K56)*(1/0.98)/K54+Umweltkennwerte!K12*3.6*E20/1000*(K56)</f>
        <v>21.088447853718456</v>
      </c>
      <c r="L44" s="90">
        <f>IF(L41= "KVA",Umweltkennwerte!K14*3.6*E20/1000*1/L54,IF(L41="Schweiz",Umweltkennwerte!K13*3.6*E20/1000*1/L54,IF(L41="Holz",Umweltkennwerte!K15*3.6*E20/1000*1/L54,"Bitte Auswahl treffen")))</f>
        <v>9.9244500920511776</v>
      </c>
      <c r="N44" s="158"/>
    </row>
    <row r="45" spans="1:14" x14ac:dyDescent="0.25">
      <c r="A45" s="72" t="s">
        <v>142</v>
      </c>
      <c r="C45" s="59" t="s">
        <v>174</v>
      </c>
      <c r="D45" s="90">
        <f>Umweltkennwerte!H6*3.6*E20/1000000*1/D54</f>
        <v>22.004936428578478</v>
      </c>
      <c r="E45" s="90">
        <f>Umweltkennwerte!H7*3.6*E20/1000000*(1/0.98)/E84</f>
        <v>14.129010663478553</v>
      </c>
      <c r="F45" s="90">
        <f>IF(F41=Grafik!B18,Umweltkennwerte!H9*3.6*E20/1000000*3.9/F54,IF(F41=Grafik!B19,Umweltkennwerte!H29*3.6*E20/1000000*3.9/F54,Grafik!F17))</f>
        <v>11.747338419827436</v>
      </c>
      <c r="G45" s="90">
        <f>IF(G41=Grafik!B18,Umweltkennwerte!H8*3.6*E20/1000000*2.8/G54,IF(G41=Grafik!B19,Umweltkennwerte!H23*3.6*E20/1000000*2.8/G54,Grafik!F17))</f>
        <v>14.74838236729709</v>
      </c>
      <c r="H45" s="90">
        <f>IF(H41=Grafik!C18,Umweltkennwerte!H10*3.6*E20/1000000*(1/1.18)/H54,Umweltkennwerte!H11*3.6*E20/1000000*(1/1.18)/H54)</f>
        <v>9.4841388070891917</v>
      </c>
      <c r="I45" s="90">
        <f>IF(I41=Grafik!C18,Umweltkennwerte!H10,Umweltkennwerte!H11)*3.6*E20/1000000*(1-I56)*(1/1.18)/I54+Umweltkennwerte!H12*3.6*E20/1000000*(I56)</f>
        <v>8.9293078821788558</v>
      </c>
      <c r="J45" s="90">
        <f>Umweltkennwerte!H6*3.6*E20/1000000*(1-J56)*1/J54+Umweltkennwerte!H12*3.6*E20/1000000*(J56)</f>
        <v>20.400111892393912</v>
      </c>
      <c r="K45" s="90">
        <f>Umweltkennwerte!H7*3.6*E20/1000000*(1-K56)*(1/0.98)/K54+Umweltkennwerte!H12*3.6*E20/1000000*(K56)</f>
        <v>13.10969255292928</v>
      </c>
      <c r="L45" s="90">
        <f>IF(L41=Grafik!D18,Umweltkennwerte!H14*3.6*E20/1000000*1/L54,IF(L41=Grafik!D19,Umweltkennwerte!H13*3.6*E20/1000000*1/L54,IF(L41=Grafik!D20,Umweltkennwerte!H15*3.6*E20/1000000*1/L54,Grafik!F17)))</f>
        <v>8.3381825773689275</v>
      </c>
      <c r="N45" s="158"/>
    </row>
    <row r="46" spans="1:14" x14ac:dyDescent="0.25">
      <c r="D46" s="52"/>
      <c r="E46" s="52"/>
      <c r="F46" s="52"/>
      <c r="G46" s="52"/>
      <c r="H46" s="52"/>
      <c r="I46" s="52"/>
      <c r="J46" s="52"/>
      <c r="K46" s="52"/>
      <c r="L46" s="52"/>
      <c r="N46" s="158"/>
    </row>
    <row r="47" spans="1:14" ht="303" customHeight="1" x14ac:dyDescent="0.25">
      <c r="A47" s="162"/>
      <c r="B47" s="162"/>
      <c r="C47" s="162"/>
      <c r="D47" s="162"/>
      <c r="E47" s="162"/>
      <c r="F47" s="162"/>
      <c r="G47" s="162"/>
      <c r="H47" s="162"/>
      <c r="I47" s="162"/>
      <c r="J47" s="162"/>
      <c r="K47" s="162"/>
      <c r="L47" s="162"/>
      <c r="M47" s="162"/>
    </row>
    <row r="48" spans="1:14" x14ac:dyDescent="0.25">
      <c r="A48" s="66"/>
      <c r="D48" s="59"/>
      <c r="E48" s="67"/>
      <c r="F48" s="43"/>
      <c r="H48" s="59"/>
      <c r="K48" s="67"/>
      <c r="L48" s="64"/>
    </row>
    <row r="49" spans="1:15" s="68" customFormat="1" ht="15.6" x14ac:dyDescent="0.3">
      <c r="A49" s="157" t="s">
        <v>178</v>
      </c>
      <c r="B49" s="157"/>
      <c r="C49" s="157"/>
      <c r="D49" s="157"/>
      <c r="E49" s="157"/>
      <c r="F49" s="157"/>
      <c r="G49" s="157"/>
      <c r="H49" s="157"/>
      <c r="I49" s="157"/>
      <c r="J49" s="157"/>
      <c r="K49" s="157"/>
      <c r="L49" s="157"/>
      <c r="N49" s="132"/>
    </row>
    <row r="50" spans="1:15" s="68" customFormat="1" ht="15.6" x14ac:dyDescent="0.3">
      <c r="A50" s="82"/>
      <c r="B50" s="82"/>
      <c r="C50" s="82"/>
      <c r="D50" s="82"/>
      <c r="E50" s="82"/>
      <c r="F50" s="82"/>
      <c r="G50" s="82"/>
      <c r="H50" s="82"/>
      <c r="I50" s="82"/>
      <c r="J50" s="82"/>
      <c r="K50" s="82"/>
      <c r="L50" s="82"/>
      <c r="N50" s="132"/>
    </row>
    <row r="51" spans="1:15" x14ac:dyDescent="0.25">
      <c r="A51" s="78"/>
      <c r="B51" s="43"/>
      <c r="C51" s="43"/>
      <c r="D51" s="45" t="str">
        <f>D58</f>
        <v>Ölkessel</v>
      </c>
      <c r="E51" s="45" t="str">
        <f t="shared" ref="E51:L51" si="8">E58</f>
        <v>Gas</v>
      </c>
      <c r="F51" s="45" t="str">
        <f t="shared" si="8"/>
        <v>WP Sole</v>
      </c>
      <c r="G51" s="45" t="str">
        <f t="shared" si="8"/>
        <v>WP Luft</v>
      </c>
      <c r="H51" s="45" t="str">
        <f t="shared" si="8"/>
        <v>Pellet</v>
      </c>
      <c r="I51" s="45" t="str">
        <f t="shared" si="8"/>
        <v>Pellet/Sonne</v>
      </c>
      <c r="J51" s="45" t="str">
        <f t="shared" si="8"/>
        <v>Öl/Sonne</v>
      </c>
      <c r="K51" s="45" t="str">
        <f t="shared" si="8"/>
        <v>Gas/Sonne</v>
      </c>
      <c r="L51" s="45" t="str">
        <f t="shared" si="8"/>
        <v>Fernwärme</v>
      </c>
    </row>
    <row r="52" spans="1:15" x14ac:dyDescent="0.25">
      <c r="A52" s="71" t="s">
        <v>156</v>
      </c>
      <c r="B52" s="62"/>
      <c r="C52" s="64"/>
      <c r="D52" s="95">
        <f t="shared" ref="D52:L52" si="9">$E$20/D53/D54*(1-D56)</f>
        <v>9262.6299999999974</v>
      </c>
      <c r="E52" s="95">
        <f t="shared" si="9"/>
        <v>9079.2115841584146</v>
      </c>
      <c r="F52" s="95">
        <f t="shared" si="9"/>
        <v>25472.232499999995</v>
      </c>
      <c r="G52" s="95">
        <f t="shared" si="9"/>
        <v>32750.013214285711</v>
      </c>
      <c r="H52" s="96">
        <f t="shared" si="9"/>
        <v>20.746614705882347</v>
      </c>
      <c r="I52" s="96">
        <f t="shared" si="9"/>
        <v>18.671953235294112</v>
      </c>
      <c r="J52" s="95">
        <f t="shared" si="9"/>
        <v>8421.4319693877533</v>
      </c>
      <c r="K52" s="95">
        <f t="shared" si="9"/>
        <v>8171.2904257425735</v>
      </c>
      <c r="L52" s="95">
        <f t="shared" si="9"/>
        <v>91700.036999999982</v>
      </c>
      <c r="N52" s="64" t="s">
        <v>231</v>
      </c>
    </row>
    <row r="53" spans="1:15" x14ac:dyDescent="0.25">
      <c r="A53" s="71" t="s">
        <v>196</v>
      </c>
      <c r="B53" s="62"/>
      <c r="C53" s="64" t="s">
        <v>11</v>
      </c>
      <c r="D53" s="97">
        <v>10</v>
      </c>
      <c r="E53" s="97">
        <v>10.1</v>
      </c>
      <c r="F53" s="97">
        <v>1</v>
      </c>
      <c r="G53" s="97">
        <v>1</v>
      </c>
      <c r="H53" s="97">
        <v>5200</v>
      </c>
      <c r="I53" s="97">
        <v>5200</v>
      </c>
      <c r="J53" s="97">
        <v>10</v>
      </c>
      <c r="K53" s="97">
        <v>10.1</v>
      </c>
      <c r="L53" s="97">
        <v>1</v>
      </c>
    </row>
    <row r="54" spans="1:15" x14ac:dyDescent="0.25">
      <c r="A54" s="71" t="s">
        <v>197</v>
      </c>
      <c r="B54" s="62"/>
      <c r="C54" s="64" t="s">
        <v>203</v>
      </c>
      <c r="D54" s="98">
        <v>0.99</v>
      </c>
      <c r="E54" s="98">
        <v>1</v>
      </c>
      <c r="F54" s="98">
        <v>3.6</v>
      </c>
      <c r="G54" s="98">
        <v>2.8</v>
      </c>
      <c r="H54" s="98">
        <v>0.85</v>
      </c>
      <c r="I54" s="98">
        <v>0.85</v>
      </c>
      <c r="J54" s="98">
        <v>0.98</v>
      </c>
      <c r="K54" s="98">
        <v>1</v>
      </c>
      <c r="L54" s="98">
        <v>1</v>
      </c>
      <c r="N54" s="155" t="s">
        <v>218</v>
      </c>
    </row>
    <row r="55" spans="1:15" x14ac:dyDescent="0.25">
      <c r="A55" s="62" t="s">
        <v>12</v>
      </c>
      <c r="B55" s="62"/>
      <c r="C55" s="64" t="s">
        <v>159</v>
      </c>
      <c r="D55" s="97">
        <v>833.63636363636363</v>
      </c>
      <c r="E55" s="97">
        <v>733.6</v>
      </c>
      <c r="F55" s="97"/>
      <c r="G55" s="97"/>
      <c r="H55" s="97">
        <v>1618.2352941176471</v>
      </c>
      <c r="I55" s="97">
        <v>1656.4117647058824</v>
      </c>
      <c r="J55" s="97">
        <v>857.92857142857144</v>
      </c>
      <c r="K55" s="97">
        <v>760.24</v>
      </c>
      <c r="L55" s="97"/>
      <c r="N55" s="155"/>
    </row>
    <row r="56" spans="1:15" x14ac:dyDescent="0.25">
      <c r="A56" s="62" t="s">
        <v>13</v>
      </c>
      <c r="B56" s="62"/>
      <c r="C56" s="64" t="s">
        <v>158</v>
      </c>
      <c r="D56" s="99">
        <v>0</v>
      </c>
      <c r="E56" s="99">
        <v>0</v>
      </c>
      <c r="F56" s="99">
        <v>0</v>
      </c>
      <c r="G56" s="99">
        <v>0</v>
      </c>
      <c r="H56" s="99">
        <v>0</v>
      </c>
      <c r="I56" s="99">
        <v>0.1</v>
      </c>
      <c r="J56" s="99">
        <v>0.1</v>
      </c>
      <c r="K56" s="99">
        <v>0.1</v>
      </c>
      <c r="L56" s="99">
        <v>0</v>
      </c>
    </row>
    <row r="57" spans="1:15" x14ac:dyDescent="0.25">
      <c r="C57" s="59"/>
      <c r="D57" s="133"/>
      <c r="E57" s="133"/>
      <c r="F57" s="133"/>
      <c r="G57" s="133"/>
      <c r="H57" s="133"/>
      <c r="I57" s="133"/>
      <c r="J57" s="133"/>
      <c r="K57" s="133"/>
      <c r="L57" s="133"/>
      <c r="N57" s="126"/>
    </row>
    <row r="58" spans="1:15" ht="13.2" customHeight="1" x14ac:dyDescent="0.3">
      <c r="A58" s="61" t="s">
        <v>14</v>
      </c>
      <c r="C58" s="59"/>
      <c r="D58" s="87" t="s">
        <v>34</v>
      </c>
      <c r="E58" s="87" t="s">
        <v>5</v>
      </c>
      <c r="F58" s="87" t="s">
        <v>6</v>
      </c>
      <c r="G58" s="87" t="s">
        <v>7</v>
      </c>
      <c r="H58" s="88" t="s">
        <v>58</v>
      </c>
      <c r="I58" s="88" t="s">
        <v>60</v>
      </c>
      <c r="J58" s="88" t="s">
        <v>59</v>
      </c>
      <c r="K58" s="88" t="s">
        <v>62</v>
      </c>
      <c r="L58" s="153" t="s">
        <v>131</v>
      </c>
      <c r="N58" s="155" t="s">
        <v>154</v>
      </c>
    </row>
    <row r="59" spans="1:15" s="69" customFormat="1" x14ac:dyDescent="0.25">
      <c r="A59" s="147"/>
      <c r="C59" s="46" t="s">
        <v>191</v>
      </c>
      <c r="D59" s="46" t="s">
        <v>15</v>
      </c>
      <c r="E59" s="46" t="s">
        <v>15</v>
      </c>
      <c r="F59" s="46" t="s">
        <v>15</v>
      </c>
      <c r="G59" s="46" t="s">
        <v>15</v>
      </c>
      <c r="H59" s="46" t="s">
        <v>15</v>
      </c>
      <c r="I59" s="46" t="s">
        <v>15</v>
      </c>
      <c r="J59" s="46" t="s">
        <v>15</v>
      </c>
      <c r="K59" s="63" t="s">
        <v>64</v>
      </c>
      <c r="L59" s="63" t="s">
        <v>64</v>
      </c>
      <c r="M59" s="56"/>
      <c r="N59" s="155"/>
      <c r="O59" s="56"/>
    </row>
    <row r="60" spans="1:15" s="69" customFormat="1" x14ac:dyDescent="0.25">
      <c r="A60" s="71" t="s">
        <v>16</v>
      </c>
      <c r="C60" s="54">
        <v>30</v>
      </c>
      <c r="D60" s="54">
        <v>7500</v>
      </c>
      <c r="E60" s="54"/>
      <c r="F60" s="54"/>
      <c r="G60" s="54"/>
      <c r="H60" s="54">
        <v>8000</v>
      </c>
      <c r="I60" s="54">
        <v>8000</v>
      </c>
      <c r="J60" s="54">
        <v>7500</v>
      </c>
      <c r="K60" s="54"/>
      <c r="L60" s="54"/>
      <c r="M60" s="56"/>
      <c r="N60" s="86"/>
      <c r="O60" s="56"/>
    </row>
    <row r="61" spans="1:15" s="69" customFormat="1" x14ac:dyDescent="0.25">
      <c r="A61" s="71" t="s">
        <v>150</v>
      </c>
      <c r="C61" s="54">
        <v>50</v>
      </c>
      <c r="D61" s="54"/>
      <c r="E61" s="54">
        <v>6000</v>
      </c>
      <c r="F61" s="54"/>
      <c r="G61" s="54"/>
      <c r="H61" s="54"/>
      <c r="I61" s="54"/>
      <c r="J61" s="54"/>
      <c r="K61" s="54">
        <v>6000</v>
      </c>
      <c r="L61" s="54"/>
      <c r="M61" s="56"/>
      <c r="N61" s="86"/>
      <c r="O61" s="56"/>
    </row>
    <row r="62" spans="1:15" s="69" customFormat="1" x14ac:dyDescent="0.25">
      <c r="A62" s="71" t="s">
        <v>151</v>
      </c>
      <c r="C62" s="54">
        <v>25</v>
      </c>
      <c r="D62" s="54"/>
      <c r="E62" s="54"/>
      <c r="F62" s="54"/>
      <c r="G62" s="54"/>
      <c r="H62" s="54"/>
      <c r="I62" s="54"/>
      <c r="J62" s="54"/>
      <c r="K62" s="54"/>
      <c r="L62" s="54"/>
      <c r="M62" s="56"/>
      <c r="N62" s="86" t="s">
        <v>217</v>
      </c>
      <c r="O62" s="56"/>
    </row>
    <row r="63" spans="1:15" s="69" customFormat="1" x14ac:dyDescent="0.25">
      <c r="A63" s="71" t="s">
        <v>65</v>
      </c>
      <c r="C63" s="54">
        <v>18</v>
      </c>
      <c r="D63" s="54">
        <v>16000</v>
      </c>
      <c r="E63" s="54">
        <v>10000</v>
      </c>
      <c r="F63" s="54">
        <v>30000</v>
      </c>
      <c r="G63" s="54">
        <v>38000</v>
      </c>
      <c r="H63" s="54">
        <v>21000</v>
      </c>
      <c r="I63" s="54">
        <v>21000</v>
      </c>
      <c r="J63" s="54">
        <v>16000</v>
      </c>
      <c r="K63" s="54">
        <v>10000</v>
      </c>
      <c r="L63" s="54"/>
      <c r="M63" s="56"/>
      <c r="N63" s="86"/>
      <c r="O63" s="56"/>
    </row>
    <row r="64" spans="1:15" s="69" customFormat="1" x14ac:dyDescent="0.25">
      <c r="A64" s="71" t="s">
        <v>17</v>
      </c>
      <c r="C64" s="54">
        <v>30</v>
      </c>
      <c r="D64" s="54">
        <v>5000</v>
      </c>
      <c r="E64" s="54">
        <v>4000</v>
      </c>
      <c r="F64" s="54"/>
      <c r="G64" s="54"/>
      <c r="H64" s="54">
        <v>5000</v>
      </c>
      <c r="I64" s="54">
        <v>5000</v>
      </c>
      <c r="J64" s="54">
        <v>5000</v>
      </c>
      <c r="K64" s="54">
        <v>4000</v>
      </c>
      <c r="L64" s="54"/>
      <c r="M64" s="56"/>
      <c r="N64" s="86"/>
      <c r="O64" s="56"/>
    </row>
    <row r="65" spans="1:15" s="69" customFormat="1" x14ac:dyDescent="0.25">
      <c r="A65" s="71" t="s">
        <v>18</v>
      </c>
      <c r="C65" s="54">
        <v>18</v>
      </c>
      <c r="D65" s="54">
        <v>1500</v>
      </c>
      <c r="E65" s="54">
        <v>1500</v>
      </c>
      <c r="F65" s="54">
        <v>1500</v>
      </c>
      <c r="G65" s="54">
        <v>1500</v>
      </c>
      <c r="H65" s="54">
        <v>1500</v>
      </c>
      <c r="I65" s="54">
        <v>1500</v>
      </c>
      <c r="J65" s="54">
        <v>1500</v>
      </c>
      <c r="K65" s="54">
        <v>1500</v>
      </c>
      <c r="L65" s="54"/>
      <c r="M65" s="56"/>
      <c r="N65" s="86"/>
      <c r="O65" s="56"/>
    </row>
    <row r="66" spans="1:15" s="69" customFormat="1" x14ac:dyDescent="0.25">
      <c r="A66" s="71" t="s">
        <v>19</v>
      </c>
      <c r="C66" s="54">
        <v>20</v>
      </c>
      <c r="D66" s="54">
        <v>7500</v>
      </c>
      <c r="E66" s="54">
        <v>7500</v>
      </c>
      <c r="F66" s="54">
        <v>7500</v>
      </c>
      <c r="G66" s="54">
        <v>7500</v>
      </c>
      <c r="H66" s="54">
        <v>7500</v>
      </c>
      <c r="I66" s="54">
        <v>10000</v>
      </c>
      <c r="J66" s="54">
        <v>10000</v>
      </c>
      <c r="K66" s="54">
        <v>10000</v>
      </c>
      <c r="L66" s="54"/>
      <c r="M66" s="56"/>
      <c r="N66" s="86"/>
      <c r="O66" s="56"/>
    </row>
    <row r="67" spans="1:15" s="69" customFormat="1" x14ac:dyDescent="0.25">
      <c r="A67" s="71" t="s">
        <v>20</v>
      </c>
      <c r="C67" s="54">
        <v>30</v>
      </c>
      <c r="D67" s="54"/>
      <c r="E67" s="54"/>
      <c r="F67" s="54">
        <v>42000</v>
      </c>
      <c r="G67" s="54"/>
      <c r="H67" s="54"/>
      <c r="I67" s="54"/>
      <c r="J67" s="54"/>
      <c r="K67" s="54"/>
      <c r="L67" s="54"/>
      <c r="M67" s="56"/>
      <c r="N67" s="86"/>
    </row>
    <row r="68" spans="1:15" s="69" customFormat="1" x14ac:dyDescent="0.25">
      <c r="A68" s="71" t="s">
        <v>21</v>
      </c>
      <c r="C68" s="54">
        <v>30</v>
      </c>
      <c r="D68" s="54">
        <v>6000</v>
      </c>
      <c r="E68" s="54">
        <v>6000</v>
      </c>
      <c r="F68" s="54">
        <v>6000</v>
      </c>
      <c r="G68" s="54">
        <v>6000</v>
      </c>
      <c r="H68" s="54">
        <v>6000</v>
      </c>
      <c r="I68" s="54">
        <v>6000</v>
      </c>
      <c r="J68" s="54">
        <v>6000</v>
      </c>
      <c r="K68" s="54">
        <v>6000</v>
      </c>
      <c r="L68" s="54"/>
      <c r="M68" s="56"/>
      <c r="N68" s="86"/>
    </row>
    <row r="69" spans="1:15" s="69" customFormat="1" x14ac:dyDescent="0.25">
      <c r="A69" s="71" t="s">
        <v>22</v>
      </c>
      <c r="C69" s="54">
        <v>30</v>
      </c>
      <c r="D69" s="54">
        <v>1500</v>
      </c>
      <c r="E69" s="54">
        <v>1500</v>
      </c>
      <c r="F69" s="54">
        <v>1500</v>
      </c>
      <c r="G69" s="54">
        <v>1500</v>
      </c>
      <c r="H69" s="54">
        <v>1500</v>
      </c>
      <c r="I69" s="54">
        <v>1500</v>
      </c>
      <c r="J69" s="54">
        <v>1500</v>
      </c>
      <c r="K69" s="54">
        <v>1500</v>
      </c>
      <c r="L69" s="54"/>
      <c r="M69" s="56"/>
      <c r="N69" s="86"/>
    </row>
    <row r="70" spans="1:15" s="69" customFormat="1" x14ac:dyDescent="0.25">
      <c r="A70" s="71" t="s">
        <v>23</v>
      </c>
      <c r="C70" s="54">
        <v>20</v>
      </c>
      <c r="D70" s="54">
        <v>5000</v>
      </c>
      <c r="E70" s="54">
        <v>5000</v>
      </c>
      <c r="F70" s="54">
        <v>5500</v>
      </c>
      <c r="G70" s="54">
        <v>6000</v>
      </c>
      <c r="H70" s="54">
        <v>5500</v>
      </c>
      <c r="I70" s="54">
        <v>7500</v>
      </c>
      <c r="J70" s="54">
        <v>7000</v>
      </c>
      <c r="K70" s="54">
        <v>7000</v>
      </c>
      <c r="L70" s="54"/>
      <c r="M70" s="56"/>
      <c r="N70" s="86"/>
    </row>
    <row r="71" spans="1:15" s="69" customFormat="1" x14ac:dyDescent="0.25">
      <c r="A71" s="71" t="s">
        <v>24</v>
      </c>
      <c r="C71" s="54">
        <v>25</v>
      </c>
      <c r="D71" s="54">
        <v>3000</v>
      </c>
      <c r="E71" s="54">
        <v>4000</v>
      </c>
      <c r="F71" s="54">
        <v>3500</v>
      </c>
      <c r="G71" s="54">
        <v>3500</v>
      </c>
      <c r="H71" s="54">
        <v>3500</v>
      </c>
      <c r="I71" s="54">
        <v>4000</v>
      </c>
      <c r="J71" s="54">
        <v>3500</v>
      </c>
      <c r="K71" s="54">
        <v>4500</v>
      </c>
      <c r="L71" s="54"/>
      <c r="M71" s="56"/>
      <c r="N71" s="86"/>
    </row>
    <row r="72" spans="1:15" s="69" customFormat="1" x14ac:dyDescent="0.25">
      <c r="A72" s="71" t="s">
        <v>25</v>
      </c>
      <c r="C72" s="54">
        <v>18</v>
      </c>
      <c r="D72" s="54">
        <v>3000</v>
      </c>
      <c r="E72" s="54">
        <v>3000</v>
      </c>
      <c r="F72" s="54">
        <v>3000</v>
      </c>
      <c r="G72" s="54">
        <v>3000</v>
      </c>
      <c r="H72" s="54">
        <v>3000</v>
      </c>
      <c r="I72" s="54">
        <v>4000</v>
      </c>
      <c r="J72" s="54">
        <v>4000</v>
      </c>
      <c r="K72" s="54">
        <v>4000</v>
      </c>
      <c r="L72" s="54"/>
      <c r="M72" s="56"/>
      <c r="N72" s="86"/>
    </row>
    <row r="73" spans="1:15" s="69" customFormat="1" x14ac:dyDescent="0.25">
      <c r="A73" s="71" t="s">
        <v>55</v>
      </c>
      <c r="C73" s="54">
        <v>20</v>
      </c>
      <c r="D73" s="54">
        <v>2000</v>
      </c>
      <c r="E73" s="54">
        <v>2000</v>
      </c>
      <c r="F73" s="54">
        <v>4000</v>
      </c>
      <c r="G73" s="54">
        <v>3000</v>
      </c>
      <c r="H73" s="54">
        <v>2000</v>
      </c>
      <c r="I73" s="54">
        <v>2000</v>
      </c>
      <c r="J73" s="54">
        <v>2000</v>
      </c>
      <c r="K73" s="54">
        <v>2000</v>
      </c>
      <c r="L73" s="54"/>
      <c r="M73" s="56"/>
      <c r="N73" s="125" t="s">
        <v>152</v>
      </c>
    </row>
    <row r="74" spans="1:15" s="69" customFormat="1" x14ac:dyDescent="0.25">
      <c r="A74" s="71" t="s">
        <v>67</v>
      </c>
      <c r="C74" s="54">
        <v>20</v>
      </c>
      <c r="D74" s="54">
        <v>5000</v>
      </c>
      <c r="E74" s="54">
        <v>5000</v>
      </c>
      <c r="F74" s="54">
        <v>5000</v>
      </c>
      <c r="G74" s="54">
        <v>5000</v>
      </c>
      <c r="H74" s="54">
        <v>5000</v>
      </c>
      <c r="I74" s="54">
        <v>6000</v>
      </c>
      <c r="J74" s="54">
        <v>6000</v>
      </c>
      <c r="K74" s="54">
        <v>6000</v>
      </c>
      <c r="L74" s="54"/>
      <c r="M74" s="56"/>
      <c r="N74" s="86" t="s">
        <v>153</v>
      </c>
    </row>
    <row r="75" spans="1:15" s="69" customFormat="1" x14ac:dyDescent="0.25">
      <c r="A75" s="71" t="s">
        <v>26</v>
      </c>
      <c r="C75" s="54">
        <v>20</v>
      </c>
      <c r="D75" s="54"/>
      <c r="E75" s="54"/>
      <c r="F75" s="54"/>
      <c r="G75" s="54"/>
      <c r="H75" s="54"/>
      <c r="I75" s="55">
        <v>12000</v>
      </c>
      <c r="J75" s="54">
        <v>12000</v>
      </c>
      <c r="K75" s="54">
        <v>12000</v>
      </c>
      <c r="L75" s="54"/>
      <c r="M75" s="56"/>
      <c r="N75" s="155" t="s">
        <v>214</v>
      </c>
    </row>
    <row r="76" spans="1:15" s="69" customFormat="1" x14ac:dyDescent="0.25">
      <c r="A76" s="71" t="s">
        <v>66</v>
      </c>
      <c r="C76" s="56"/>
      <c r="D76" s="54"/>
      <c r="E76" s="54"/>
      <c r="F76" s="54"/>
      <c r="G76" s="54"/>
      <c r="H76" s="54"/>
      <c r="I76" s="54"/>
      <c r="J76" s="54"/>
      <c r="K76" s="54"/>
      <c r="L76" s="54"/>
      <c r="M76" s="56"/>
      <c r="N76" s="155"/>
    </row>
    <row r="77" spans="1:15" s="69" customFormat="1" x14ac:dyDescent="0.25">
      <c r="A77" s="147"/>
      <c r="C77" s="56"/>
      <c r="D77" s="56"/>
      <c r="E77" s="56"/>
      <c r="F77" s="56"/>
      <c r="G77" s="56"/>
      <c r="H77" s="56"/>
      <c r="I77" s="56"/>
      <c r="J77" s="56"/>
      <c r="K77" s="56"/>
      <c r="L77" s="56"/>
      <c r="M77" s="56"/>
      <c r="N77" s="154" t="s">
        <v>155</v>
      </c>
    </row>
    <row r="78" spans="1:15" x14ac:dyDescent="0.25">
      <c r="A78" s="62" t="s">
        <v>27</v>
      </c>
      <c r="C78" s="149"/>
      <c r="D78" s="100">
        <f t="shared" ref="D78:L78" si="10">SUM(D60:D75)-D76</f>
        <v>63000</v>
      </c>
      <c r="E78" s="100">
        <f t="shared" si="10"/>
        <v>55500</v>
      </c>
      <c r="F78" s="100">
        <f t="shared" si="10"/>
        <v>109500</v>
      </c>
      <c r="G78" s="100">
        <f t="shared" si="10"/>
        <v>75000</v>
      </c>
      <c r="H78" s="100">
        <f t="shared" si="10"/>
        <v>69500</v>
      </c>
      <c r="I78" s="100">
        <f t="shared" si="10"/>
        <v>88500</v>
      </c>
      <c r="J78" s="100">
        <f t="shared" si="10"/>
        <v>82000</v>
      </c>
      <c r="K78" s="100">
        <f t="shared" si="10"/>
        <v>74500</v>
      </c>
      <c r="L78" s="100">
        <f t="shared" si="10"/>
        <v>0</v>
      </c>
      <c r="N78" s="154"/>
    </row>
    <row r="79" spans="1:15" s="69" customFormat="1" x14ac:dyDescent="0.25">
      <c r="A79" s="71" t="s">
        <v>28</v>
      </c>
      <c r="C79" s="150"/>
      <c r="D79" s="101">
        <f t="shared" ref="D79:K79" si="11">IF(ISERROR(SUMPRODUCT($C60:$C75,D60:D75)/(D76+D78)),0,SUMPRODUCT($C60:$C75,D60:D75)/(D76+D78))</f>
        <v>22.761904761904763</v>
      </c>
      <c r="E79" s="101">
        <f t="shared" si="11"/>
        <v>25.153153153153152</v>
      </c>
      <c r="F79" s="101">
        <f t="shared" si="11"/>
        <v>24.050228310502284</v>
      </c>
      <c r="G79" s="101">
        <f t="shared" si="11"/>
        <v>20.100000000000001</v>
      </c>
      <c r="H79" s="101">
        <f t="shared" si="11"/>
        <v>22.467625899280577</v>
      </c>
      <c r="I79" s="101">
        <f t="shared" si="11"/>
        <v>21.943502824858758</v>
      </c>
      <c r="J79" s="101">
        <f t="shared" si="11"/>
        <v>22.128048780487806</v>
      </c>
      <c r="K79" s="101">
        <f t="shared" si="11"/>
        <v>23.845637583892618</v>
      </c>
      <c r="L79" s="101">
        <f>IF(ISERROR(SUMPRODUCT($C60:$C75,L60:L75)/(L76+L78)),0,SUMPRODUCT($C60:$C75,L60:L75)/(L76+L78))</f>
        <v>0</v>
      </c>
      <c r="M79" s="56"/>
      <c r="N79" s="154"/>
    </row>
    <row r="80" spans="1:15" s="69" customFormat="1" x14ac:dyDescent="0.25">
      <c r="A80" s="71" t="s">
        <v>29</v>
      </c>
      <c r="B80" s="123">
        <v>2</v>
      </c>
      <c r="C80" s="69" t="s">
        <v>30</v>
      </c>
      <c r="D80" s="102">
        <f>$B$80/100*POWER(1+$B$80/100,D79)/(POWER(1+$B$80/100,D79)-1)*100</f>
        <v>5.5119645883170083</v>
      </c>
      <c r="E80" s="102">
        <f t="shared" ref="E80:K80" si="12">$B$80/100*POWER(1+$B$80/100,E79)/(POWER(1+$B$80/100,E79)-1)*100</f>
        <v>5.0979450922934504</v>
      </c>
      <c r="F80" s="102">
        <f t="shared" si="12"/>
        <v>5.2784849278214434</v>
      </c>
      <c r="G80" s="102">
        <f t="shared" si="12"/>
        <v>6.0908757139334471</v>
      </c>
      <c r="H80" s="102">
        <f t="shared" si="12"/>
        <v>5.5691196373446754</v>
      </c>
      <c r="I80" s="102">
        <f t="shared" si="12"/>
        <v>5.674775007197951</v>
      </c>
      <c r="J80" s="102">
        <f t="shared" si="12"/>
        <v>5.6369932375315823</v>
      </c>
      <c r="K80" s="102">
        <f t="shared" si="12"/>
        <v>5.3138472744711649</v>
      </c>
      <c r="L80" s="102">
        <f>IF(ISERROR($B$80/100*POWER(1+$B$80/100,L79)/(POWER(1+$B$80/100,L79)-1)*100),0,$B$80/100*POWER(1+$B$80/100,L79)/(POWER(1+$B$80/100,L79)-1)*100)</f>
        <v>0</v>
      </c>
      <c r="M80" s="56"/>
      <c r="N80" s="134"/>
    </row>
    <row r="81" spans="1:14" s="70" customFormat="1" x14ac:dyDescent="0.25">
      <c r="A81" s="70" t="s">
        <v>31</v>
      </c>
      <c r="B81" s="47"/>
      <c r="C81" s="47" t="s">
        <v>32</v>
      </c>
      <c r="D81" s="103">
        <f>D78*D80/100</f>
        <v>3472.5376906397155</v>
      </c>
      <c r="E81" s="103">
        <f t="shared" ref="E81:L81" si="13">E78*E80/100</f>
        <v>2829.359526222865</v>
      </c>
      <c r="F81" s="103">
        <f t="shared" si="13"/>
        <v>5779.94099596448</v>
      </c>
      <c r="G81" s="103">
        <f t="shared" si="13"/>
        <v>4568.1567854500854</v>
      </c>
      <c r="H81" s="103">
        <f t="shared" si="13"/>
        <v>3870.5381479545495</v>
      </c>
      <c r="I81" s="103">
        <f t="shared" si="13"/>
        <v>5022.1758813701863</v>
      </c>
      <c r="J81" s="103">
        <f t="shared" si="13"/>
        <v>4622.334454775897</v>
      </c>
      <c r="K81" s="103">
        <f t="shared" si="13"/>
        <v>3958.8162194810179</v>
      </c>
      <c r="L81" s="103">
        <f t="shared" si="13"/>
        <v>0</v>
      </c>
      <c r="M81" s="62"/>
      <c r="N81" s="135"/>
    </row>
    <row r="82" spans="1:14" s="60" customFormat="1" x14ac:dyDescent="0.25">
      <c r="A82" s="70"/>
      <c r="B82" s="47"/>
      <c r="C82" s="47"/>
      <c r="D82" s="48"/>
      <c r="E82" s="48"/>
      <c r="F82" s="48"/>
      <c r="G82" s="48"/>
      <c r="H82" s="48"/>
      <c r="I82" s="48"/>
      <c r="J82" s="48"/>
      <c r="K82" s="48"/>
      <c r="L82" s="48"/>
      <c r="M82" s="56"/>
      <c r="N82" s="136"/>
    </row>
    <row r="83" spans="1:14" ht="15.6" x14ac:dyDescent="0.3">
      <c r="A83" s="61" t="s">
        <v>33</v>
      </c>
      <c r="B83" s="49"/>
      <c r="D83" s="44" t="s">
        <v>34</v>
      </c>
      <c r="E83" s="44" t="s">
        <v>35</v>
      </c>
      <c r="F83" s="44" t="s">
        <v>6</v>
      </c>
      <c r="G83" s="44" t="s">
        <v>7</v>
      </c>
      <c r="H83" s="45" t="s">
        <v>58</v>
      </c>
      <c r="I83" s="45" t="s">
        <v>60</v>
      </c>
      <c r="J83" s="45" t="s">
        <v>59</v>
      </c>
      <c r="K83" s="44" t="s">
        <v>62</v>
      </c>
      <c r="L83" s="87" t="s">
        <v>131</v>
      </c>
    </row>
    <row r="84" spans="1:14" ht="15.6" x14ac:dyDescent="0.3">
      <c r="A84" s="61"/>
      <c r="B84" s="49"/>
      <c r="C84" s="85" t="s">
        <v>204</v>
      </c>
      <c r="D84" s="104">
        <f t="shared" ref="D84:L84" si="14">D54</f>
        <v>0.99</v>
      </c>
      <c r="E84" s="104">
        <f t="shared" si="14"/>
        <v>1</v>
      </c>
      <c r="F84" s="104">
        <f t="shared" si="14"/>
        <v>3.6</v>
      </c>
      <c r="G84" s="104">
        <f t="shared" si="14"/>
        <v>2.8</v>
      </c>
      <c r="H84" s="104">
        <f t="shared" si="14"/>
        <v>0.85</v>
      </c>
      <c r="I84" s="104">
        <f t="shared" si="14"/>
        <v>0.85</v>
      </c>
      <c r="J84" s="104">
        <f t="shared" si="14"/>
        <v>0.98</v>
      </c>
      <c r="K84" s="104">
        <f t="shared" si="14"/>
        <v>1</v>
      </c>
      <c r="L84" s="104">
        <f t="shared" si="14"/>
        <v>1</v>
      </c>
    </row>
    <row r="85" spans="1:14" x14ac:dyDescent="0.25">
      <c r="A85" s="62" t="s">
        <v>36</v>
      </c>
      <c r="B85" s="49"/>
      <c r="C85" s="49" t="s">
        <v>3</v>
      </c>
      <c r="D85" s="105">
        <f t="shared" ref="D85:L85" si="15">D52*D53</f>
        <v>92626.299999999974</v>
      </c>
      <c r="E85" s="105">
        <f t="shared" si="15"/>
        <v>91700.036999999982</v>
      </c>
      <c r="F85" s="105">
        <f t="shared" si="15"/>
        <v>25472.232499999995</v>
      </c>
      <c r="G85" s="105">
        <f t="shared" si="15"/>
        <v>32750.013214285711</v>
      </c>
      <c r="H85" s="105">
        <f t="shared" si="15"/>
        <v>107882.39647058821</v>
      </c>
      <c r="I85" s="105">
        <f t="shared" si="15"/>
        <v>97094.156823529382</v>
      </c>
      <c r="J85" s="105">
        <f t="shared" si="15"/>
        <v>84214.319693877536</v>
      </c>
      <c r="K85" s="105">
        <f t="shared" si="15"/>
        <v>82530.033299999996</v>
      </c>
      <c r="L85" s="105">
        <f t="shared" si="15"/>
        <v>91700.036999999982</v>
      </c>
    </row>
    <row r="86" spans="1:14" x14ac:dyDescent="0.25">
      <c r="A86" s="148" t="s">
        <v>33</v>
      </c>
      <c r="B86" s="49"/>
      <c r="D86" s="105"/>
      <c r="E86" s="105"/>
      <c r="F86" s="105"/>
      <c r="G86" s="105"/>
      <c r="H86" s="105"/>
      <c r="I86" s="105"/>
      <c r="J86" s="105"/>
      <c r="K86" s="105"/>
      <c r="L86" s="105"/>
    </row>
    <row r="87" spans="1:14" x14ac:dyDescent="0.25">
      <c r="A87" s="71" t="s">
        <v>37</v>
      </c>
      <c r="B87" s="124">
        <v>90</v>
      </c>
      <c r="C87" s="56" t="s">
        <v>56</v>
      </c>
      <c r="D87" s="106">
        <f>D52*B87/100</f>
        <v>8336.3669999999966</v>
      </c>
      <c r="E87" s="106"/>
      <c r="F87" s="106"/>
      <c r="G87" s="106"/>
      <c r="H87" s="106"/>
      <c r="I87" s="106"/>
      <c r="J87" s="106">
        <f>J52*B87/100</f>
        <v>7579.2887724489774</v>
      </c>
      <c r="K87" s="106"/>
      <c r="L87" s="106"/>
      <c r="N87" s="151" t="s">
        <v>229</v>
      </c>
    </row>
    <row r="88" spans="1:14" x14ac:dyDescent="0.25">
      <c r="A88" s="62" t="s">
        <v>38</v>
      </c>
      <c r="B88" s="122">
        <v>300</v>
      </c>
      <c r="C88" s="56" t="s">
        <v>39</v>
      </c>
      <c r="D88" s="106"/>
      <c r="E88" s="106">
        <f>B88</f>
        <v>300</v>
      </c>
      <c r="F88" s="106"/>
      <c r="G88" s="106"/>
      <c r="H88" s="106"/>
      <c r="I88" s="106"/>
      <c r="J88" s="106"/>
      <c r="K88" s="106">
        <f>B88</f>
        <v>300</v>
      </c>
      <c r="L88" s="106"/>
    </row>
    <row r="89" spans="1:14" x14ac:dyDescent="0.25">
      <c r="A89" s="62" t="s">
        <v>40</v>
      </c>
      <c r="B89" s="124">
        <v>7.1</v>
      </c>
      <c r="C89" s="56" t="s">
        <v>41</v>
      </c>
      <c r="D89" s="106"/>
      <c r="E89" s="106">
        <f>E52*B89/10</f>
        <v>6446.2402247524742</v>
      </c>
      <c r="F89" s="106"/>
      <c r="G89" s="106"/>
      <c r="H89" s="106"/>
      <c r="I89" s="106"/>
      <c r="J89" s="106"/>
      <c r="K89" s="106">
        <f>K52*B89/10</f>
        <v>5801.6162022772269</v>
      </c>
      <c r="L89" s="106"/>
    </row>
    <row r="90" spans="1:14" x14ac:dyDescent="0.25">
      <c r="A90" s="71" t="s">
        <v>167</v>
      </c>
      <c r="B90" s="124">
        <v>21</v>
      </c>
      <c r="C90" s="72" t="s">
        <v>41</v>
      </c>
      <c r="D90" s="106">
        <f t="shared" ref="D90:L90" si="16">D55*$B90/100</f>
        <v>175.06363636363636</v>
      </c>
      <c r="E90" s="106">
        <f t="shared" si="16"/>
        <v>154.05600000000001</v>
      </c>
      <c r="F90" s="106">
        <f t="shared" si="16"/>
        <v>0</v>
      </c>
      <c r="G90" s="106">
        <f t="shared" si="16"/>
        <v>0</v>
      </c>
      <c r="H90" s="106">
        <f t="shared" si="16"/>
        <v>339.82941176470587</v>
      </c>
      <c r="I90" s="106">
        <f t="shared" si="16"/>
        <v>347.84647058823532</v>
      </c>
      <c r="J90" s="106">
        <f t="shared" si="16"/>
        <v>180.16499999999999</v>
      </c>
      <c r="K90" s="106">
        <f t="shared" si="16"/>
        <v>159.65040000000002</v>
      </c>
      <c r="L90" s="106">
        <f t="shared" si="16"/>
        <v>0</v>
      </c>
      <c r="N90" s="86" t="s">
        <v>198</v>
      </c>
    </row>
    <row r="91" spans="1:14" x14ac:dyDescent="0.25">
      <c r="A91" s="71" t="s">
        <v>189</v>
      </c>
      <c r="B91" s="124">
        <v>16</v>
      </c>
      <c r="C91" s="56" t="s">
        <v>41</v>
      </c>
      <c r="D91" s="106"/>
      <c r="E91" s="106"/>
      <c r="F91" s="106">
        <f>F52*B91/100*0.67</f>
        <v>2730.6233239999997</v>
      </c>
      <c r="G91" s="106">
        <f>G52*B91*0.67/100</f>
        <v>3510.8014165714285</v>
      </c>
      <c r="H91" s="106"/>
      <c r="I91" s="106"/>
      <c r="J91" s="106"/>
      <c r="K91" s="106"/>
      <c r="L91" s="106"/>
      <c r="N91" s="86" t="s">
        <v>199</v>
      </c>
    </row>
    <row r="92" spans="1:14" x14ac:dyDescent="0.25">
      <c r="A92" s="71" t="s">
        <v>190</v>
      </c>
      <c r="B92" s="124">
        <v>11</v>
      </c>
      <c r="C92" s="56" t="s">
        <v>41</v>
      </c>
      <c r="D92" s="106"/>
      <c r="E92" s="106"/>
      <c r="F92" s="106">
        <f>F52*B92*0.33/100</f>
        <v>924.64203974999987</v>
      </c>
      <c r="G92" s="106">
        <f>G52*B92*0.33/100</f>
        <v>1188.8254796785714</v>
      </c>
      <c r="H92" s="106"/>
      <c r="I92" s="106"/>
      <c r="J92" s="106"/>
      <c r="K92" s="106"/>
      <c r="L92" s="106"/>
      <c r="N92" s="155" t="s">
        <v>200</v>
      </c>
    </row>
    <row r="93" spans="1:14" x14ac:dyDescent="0.25">
      <c r="A93" s="71" t="s">
        <v>192</v>
      </c>
      <c r="B93" s="124">
        <v>135</v>
      </c>
      <c r="C93" s="56" t="s">
        <v>39</v>
      </c>
      <c r="D93" s="106"/>
      <c r="E93" s="106"/>
      <c r="F93" s="106">
        <f>B93</f>
        <v>135</v>
      </c>
      <c r="G93" s="106">
        <f>B93</f>
        <v>135</v>
      </c>
      <c r="H93" s="106"/>
      <c r="I93" s="106"/>
      <c r="J93" s="106"/>
      <c r="K93" s="106"/>
      <c r="L93" s="106"/>
      <c r="N93" s="155"/>
    </row>
    <row r="94" spans="1:14" x14ac:dyDescent="0.25">
      <c r="A94" s="71" t="s">
        <v>42</v>
      </c>
      <c r="B94" s="124">
        <v>370</v>
      </c>
      <c r="C94" s="56" t="s">
        <v>61</v>
      </c>
      <c r="D94" s="106"/>
      <c r="E94" s="106"/>
      <c r="F94" s="106"/>
      <c r="G94" s="106"/>
      <c r="H94" s="106">
        <f>H52*B94</f>
        <v>7676.2474411764688</v>
      </c>
      <c r="I94" s="106">
        <f>I52*B94</f>
        <v>6908.6226970588214</v>
      </c>
      <c r="J94" s="106"/>
      <c r="K94" s="106"/>
      <c r="L94" s="106"/>
      <c r="N94" s="137" t="s">
        <v>202</v>
      </c>
    </row>
    <row r="95" spans="1:14" x14ac:dyDescent="0.25">
      <c r="A95" s="71" t="s">
        <v>193</v>
      </c>
      <c r="B95" s="124"/>
      <c r="C95" s="74" t="s">
        <v>39</v>
      </c>
      <c r="D95" s="106"/>
      <c r="E95" s="106"/>
      <c r="F95" s="106"/>
      <c r="G95" s="106"/>
      <c r="H95" s="106"/>
      <c r="I95" s="106"/>
      <c r="J95" s="106"/>
      <c r="K95" s="106"/>
      <c r="L95" s="106">
        <f>B95</f>
        <v>0</v>
      </c>
    </row>
    <row r="96" spans="1:14" x14ac:dyDescent="0.25">
      <c r="A96" s="71" t="s">
        <v>131</v>
      </c>
      <c r="B96" s="124"/>
      <c r="C96" s="72" t="s">
        <v>160</v>
      </c>
      <c r="D96" s="106"/>
      <c r="E96" s="106"/>
      <c r="F96" s="106"/>
      <c r="G96" s="106"/>
      <c r="H96" s="106"/>
      <c r="I96" s="106"/>
      <c r="J96" s="106"/>
      <c r="K96" s="106"/>
      <c r="L96" s="106">
        <f>B96*L52/100</f>
        <v>0</v>
      </c>
    </row>
    <row r="97" spans="1:14" s="70" customFormat="1" x14ac:dyDescent="0.25">
      <c r="A97" s="70" t="s">
        <v>43</v>
      </c>
      <c r="C97" s="47" t="s">
        <v>32</v>
      </c>
      <c r="D97" s="65">
        <f t="shared" ref="D97:K97" si="17">SUM(D87:D96)</f>
        <v>8511.4306363636333</v>
      </c>
      <c r="E97" s="65">
        <f t="shared" si="17"/>
        <v>6900.2962247524738</v>
      </c>
      <c r="F97" s="65">
        <f t="shared" si="17"/>
        <v>3790.2653637499998</v>
      </c>
      <c r="G97" s="65">
        <f t="shared" si="17"/>
        <v>4834.6268962499998</v>
      </c>
      <c r="H97" s="65">
        <f t="shared" si="17"/>
        <v>8016.0768529411744</v>
      </c>
      <c r="I97" s="65">
        <f t="shared" si="17"/>
        <v>7256.4691676470566</v>
      </c>
      <c r="J97" s="65">
        <f t="shared" si="17"/>
        <v>7759.4537724489774</v>
      </c>
      <c r="K97" s="65">
        <f t="shared" si="17"/>
        <v>6261.2666022772273</v>
      </c>
      <c r="L97" s="65">
        <f>SUM(L87:L96)</f>
        <v>0</v>
      </c>
      <c r="M97" s="62"/>
      <c r="N97" s="138"/>
    </row>
    <row r="98" spans="1:14" ht="14.25" customHeight="1" x14ac:dyDescent="0.25">
      <c r="D98" s="49"/>
      <c r="E98" s="49"/>
      <c r="F98" s="49"/>
      <c r="G98" s="49"/>
      <c r="H98" s="49"/>
      <c r="I98" s="49"/>
      <c r="J98" s="49"/>
      <c r="K98" s="49"/>
      <c r="L98" s="49"/>
    </row>
    <row r="99" spans="1:14" ht="15.6" x14ac:dyDescent="0.3">
      <c r="A99" s="61" t="s">
        <v>44</v>
      </c>
      <c r="D99" s="49" t="str">
        <f>D16</f>
        <v>Ölkessel</v>
      </c>
      <c r="E99" s="49" t="str">
        <f t="shared" ref="E99:L99" si="18">E16</f>
        <v>Gaskessel</v>
      </c>
      <c r="F99" s="49" t="str">
        <f t="shared" si="18"/>
        <v>WP Sole</v>
      </c>
      <c r="G99" s="49" t="str">
        <f t="shared" si="18"/>
        <v>WP Luft</v>
      </c>
      <c r="H99" s="49" t="str">
        <f t="shared" si="18"/>
        <v>Pellet</v>
      </c>
      <c r="I99" s="49" t="str">
        <f t="shared" si="18"/>
        <v>Pellet/Sonne</v>
      </c>
      <c r="J99" s="49" t="str">
        <f t="shared" si="18"/>
        <v>Öl/Sonne</v>
      </c>
      <c r="K99" s="49" t="str">
        <f t="shared" si="18"/>
        <v>Gas/Sonne</v>
      </c>
      <c r="L99" s="49" t="str">
        <f t="shared" si="18"/>
        <v>Fernwärme</v>
      </c>
    </row>
    <row r="100" spans="1:14" x14ac:dyDescent="0.25">
      <c r="A100" s="62" t="s">
        <v>45</v>
      </c>
      <c r="D100" s="107">
        <v>600</v>
      </c>
      <c r="E100" s="107">
        <v>450</v>
      </c>
      <c r="F100" s="107">
        <v>150</v>
      </c>
      <c r="G100" s="107">
        <v>350</v>
      </c>
      <c r="H100" s="107">
        <v>700</v>
      </c>
      <c r="I100" s="107">
        <v>700</v>
      </c>
      <c r="J100" s="107">
        <v>600</v>
      </c>
      <c r="K100" s="107">
        <v>450</v>
      </c>
      <c r="L100" s="107"/>
    </row>
    <row r="101" spans="1:14" x14ac:dyDescent="0.25">
      <c r="A101" s="62" t="s">
        <v>46</v>
      </c>
      <c r="D101" s="107">
        <v>40</v>
      </c>
      <c r="E101" s="107">
        <v>20</v>
      </c>
      <c r="F101" s="107"/>
      <c r="G101" s="107"/>
      <c r="H101" s="107"/>
      <c r="I101" s="107"/>
      <c r="J101" s="107">
        <v>40</v>
      </c>
      <c r="K101" s="107">
        <v>20</v>
      </c>
      <c r="L101" s="107">
        <v>0</v>
      </c>
    </row>
    <row r="102" spans="1:14" x14ac:dyDescent="0.25">
      <c r="A102" s="62" t="s">
        <v>47</v>
      </c>
      <c r="D102" s="107">
        <v>250</v>
      </c>
      <c r="E102" s="107">
        <v>62</v>
      </c>
      <c r="F102" s="107"/>
      <c r="G102" s="107"/>
      <c r="H102" s="107">
        <v>250</v>
      </c>
      <c r="I102" s="107">
        <v>250</v>
      </c>
      <c r="J102" s="107">
        <v>250</v>
      </c>
      <c r="K102" s="107">
        <v>62</v>
      </c>
      <c r="L102" s="107">
        <v>0</v>
      </c>
    </row>
    <row r="103" spans="1:14" x14ac:dyDescent="0.25">
      <c r="A103" s="62" t="s">
        <v>48</v>
      </c>
      <c r="D103" s="107">
        <v>180</v>
      </c>
      <c r="E103" s="107"/>
      <c r="F103" s="107"/>
      <c r="G103" s="107"/>
      <c r="H103" s="107"/>
      <c r="I103" s="107"/>
      <c r="J103" s="107">
        <v>180</v>
      </c>
      <c r="K103" s="107"/>
      <c r="L103" s="107">
        <v>0</v>
      </c>
    </row>
    <row r="104" spans="1:14" x14ac:dyDescent="0.25">
      <c r="A104" s="71" t="s">
        <v>49</v>
      </c>
      <c r="D104" s="101">
        <f>$B$80*D87/100*0.5</f>
        <v>83.363669999999971</v>
      </c>
      <c r="E104" s="101"/>
      <c r="F104" s="101"/>
      <c r="G104" s="101"/>
      <c r="H104" s="101">
        <f>$B$80*H94/100*0.5</f>
        <v>76.762474411764686</v>
      </c>
      <c r="I104" s="101">
        <f>$B$80*I94/100*0.5</f>
        <v>69.086226970588214</v>
      </c>
      <c r="J104" s="101">
        <f t="shared" ref="J104:L104" si="19">$B$80*J87/100*0.5</f>
        <v>75.792887724489773</v>
      </c>
      <c r="K104" s="101">
        <f t="shared" si="19"/>
        <v>0</v>
      </c>
      <c r="L104" s="101">
        <f t="shared" si="19"/>
        <v>0</v>
      </c>
      <c r="N104" s="86" t="s">
        <v>201</v>
      </c>
    </row>
    <row r="105" spans="1:14" s="70" customFormat="1" x14ac:dyDescent="0.25">
      <c r="A105" s="70" t="s">
        <v>50</v>
      </c>
      <c r="C105" s="47" t="s">
        <v>32</v>
      </c>
      <c r="D105" s="103">
        <f t="shared" ref="D105:L105" si="20">SUM(D100:D104)</f>
        <v>1153.36367</v>
      </c>
      <c r="E105" s="103">
        <f t="shared" si="20"/>
        <v>532</v>
      </c>
      <c r="F105" s="103">
        <f t="shared" si="20"/>
        <v>150</v>
      </c>
      <c r="G105" s="103">
        <f t="shared" si="20"/>
        <v>350</v>
      </c>
      <c r="H105" s="103">
        <f t="shared" si="20"/>
        <v>1026.7624744117647</v>
      </c>
      <c r="I105" s="103">
        <f t="shared" si="20"/>
        <v>1019.0862269705882</v>
      </c>
      <c r="J105" s="103">
        <f t="shared" si="20"/>
        <v>1145.7928877244897</v>
      </c>
      <c r="K105" s="103">
        <f t="shared" si="20"/>
        <v>532</v>
      </c>
      <c r="L105" s="103">
        <f t="shared" si="20"/>
        <v>0</v>
      </c>
      <c r="M105" s="62"/>
      <c r="N105" s="138"/>
    </row>
    <row r="106" spans="1:14" x14ac:dyDescent="0.25">
      <c r="D106" s="44"/>
      <c r="E106" s="44"/>
      <c r="F106" s="44"/>
      <c r="G106" s="44"/>
      <c r="H106" s="44"/>
      <c r="I106" s="44"/>
      <c r="J106" s="44"/>
      <c r="K106" s="44"/>
      <c r="L106" s="44"/>
    </row>
    <row r="107" spans="1:14" ht="15.6" x14ac:dyDescent="0.3">
      <c r="A107" s="61" t="s">
        <v>51</v>
      </c>
      <c r="D107" s="44" t="s">
        <v>34</v>
      </c>
      <c r="E107" s="44" t="s">
        <v>35</v>
      </c>
      <c r="F107" s="44" t="s">
        <v>6</v>
      </c>
      <c r="G107" s="44" t="s">
        <v>7</v>
      </c>
      <c r="H107" s="45" t="s">
        <v>58</v>
      </c>
      <c r="I107" s="45" t="s">
        <v>60</v>
      </c>
      <c r="J107" s="45" t="s">
        <v>59</v>
      </c>
      <c r="K107" s="44" t="s">
        <v>62</v>
      </c>
      <c r="L107" s="87" t="s">
        <v>131</v>
      </c>
    </row>
    <row r="108" spans="1:14" x14ac:dyDescent="0.25">
      <c r="A108" s="62" t="s">
        <v>52</v>
      </c>
      <c r="D108" s="105">
        <f t="shared" ref="D108:L108" si="21">D81</f>
        <v>3472.5376906397155</v>
      </c>
      <c r="E108" s="105">
        <f t="shared" si="21"/>
        <v>2829.359526222865</v>
      </c>
      <c r="F108" s="105">
        <f t="shared" si="21"/>
        <v>5779.94099596448</v>
      </c>
      <c r="G108" s="105">
        <f t="shared" si="21"/>
        <v>4568.1567854500854</v>
      </c>
      <c r="H108" s="105">
        <f t="shared" si="21"/>
        <v>3870.5381479545495</v>
      </c>
      <c r="I108" s="105">
        <f t="shared" si="21"/>
        <v>5022.1758813701863</v>
      </c>
      <c r="J108" s="105">
        <f t="shared" si="21"/>
        <v>4622.334454775897</v>
      </c>
      <c r="K108" s="105">
        <f t="shared" si="21"/>
        <v>3958.8162194810179</v>
      </c>
      <c r="L108" s="105">
        <f t="shared" si="21"/>
        <v>0</v>
      </c>
    </row>
    <row r="109" spans="1:14" x14ac:dyDescent="0.25">
      <c r="A109" s="62" t="s">
        <v>33</v>
      </c>
      <c r="D109" s="105">
        <f t="shared" ref="D109:J109" si="22">D97</f>
        <v>8511.4306363636333</v>
      </c>
      <c r="E109" s="105">
        <f t="shared" si="22"/>
        <v>6900.2962247524738</v>
      </c>
      <c r="F109" s="105">
        <f t="shared" si="22"/>
        <v>3790.2653637499998</v>
      </c>
      <c r="G109" s="105">
        <f t="shared" si="22"/>
        <v>4834.6268962499998</v>
      </c>
      <c r="H109" s="105">
        <f t="shared" si="22"/>
        <v>8016.0768529411744</v>
      </c>
      <c r="I109" s="105">
        <f t="shared" si="22"/>
        <v>7256.4691676470566</v>
      </c>
      <c r="J109" s="105">
        <f t="shared" si="22"/>
        <v>7759.4537724489774</v>
      </c>
      <c r="K109" s="105">
        <f>K97</f>
        <v>6261.2666022772273</v>
      </c>
      <c r="L109" s="105">
        <f>L97</f>
        <v>0</v>
      </c>
    </row>
    <row r="110" spans="1:14" x14ac:dyDescent="0.25">
      <c r="A110" s="62" t="s">
        <v>44</v>
      </c>
      <c r="D110" s="105">
        <f t="shared" ref="D110:J110" si="23">D105</f>
        <v>1153.36367</v>
      </c>
      <c r="E110" s="105">
        <f t="shared" si="23"/>
        <v>532</v>
      </c>
      <c r="F110" s="105">
        <f t="shared" si="23"/>
        <v>150</v>
      </c>
      <c r="G110" s="105">
        <f t="shared" si="23"/>
        <v>350</v>
      </c>
      <c r="H110" s="105">
        <f t="shared" si="23"/>
        <v>1026.7624744117647</v>
      </c>
      <c r="I110" s="105">
        <f t="shared" si="23"/>
        <v>1019.0862269705882</v>
      </c>
      <c r="J110" s="105">
        <f t="shared" si="23"/>
        <v>1145.7928877244897</v>
      </c>
      <c r="K110" s="105">
        <f>K105</f>
        <v>532</v>
      </c>
      <c r="L110" s="105">
        <f>L105</f>
        <v>0</v>
      </c>
    </row>
    <row r="111" spans="1:14" s="70" customFormat="1" x14ac:dyDescent="0.25">
      <c r="A111" s="70" t="s">
        <v>51</v>
      </c>
      <c r="C111" s="81" t="s">
        <v>32</v>
      </c>
      <c r="D111" s="108">
        <f>SUM(D108:D110)</f>
        <v>13137.33199700335</v>
      </c>
      <c r="E111" s="108">
        <f t="shared" ref="E111:L111" si="24">SUM(E108:E110)</f>
        <v>10261.655750975338</v>
      </c>
      <c r="F111" s="108">
        <f t="shared" si="24"/>
        <v>9720.2063597144806</v>
      </c>
      <c r="G111" s="108">
        <f t="shared" si="24"/>
        <v>9752.7836817000862</v>
      </c>
      <c r="H111" s="108">
        <f t="shared" si="24"/>
        <v>12913.377475307487</v>
      </c>
      <c r="I111" s="108">
        <f t="shared" si="24"/>
        <v>13297.731275987831</v>
      </c>
      <c r="J111" s="108">
        <f t="shared" si="24"/>
        <v>13527.581114949366</v>
      </c>
      <c r="K111" s="108">
        <f t="shared" si="24"/>
        <v>10752.082821758246</v>
      </c>
      <c r="L111" s="108">
        <f t="shared" si="24"/>
        <v>0</v>
      </c>
      <c r="M111" s="62"/>
      <c r="N111" s="138"/>
    </row>
    <row r="112" spans="1:14" x14ac:dyDescent="0.25">
      <c r="A112" s="62" t="s">
        <v>53</v>
      </c>
      <c r="C112" s="44" t="s">
        <v>30</v>
      </c>
      <c r="D112" s="105">
        <v>100</v>
      </c>
      <c r="E112" s="105">
        <f t="shared" ref="E112:L112" si="25">E111/$D$111*100</f>
        <v>78.110652553471596</v>
      </c>
      <c r="F112" s="105">
        <f t="shared" si="25"/>
        <v>73.989196299002558</v>
      </c>
      <c r="G112" s="105">
        <f t="shared" si="25"/>
        <v>74.237171473817625</v>
      </c>
      <c r="H112" s="105">
        <f t="shared" si="25"/>
        <v>98.295281555288796</v>
      </c>
      <c r="I112" s="105">
        <f t="shared" si="25"/>
        <v>101.22094257053919</v>
      </c>
      <c r="J112" s="105">
        <f t="shared" si="25"/>
        <v>102.97053555497442</v>
      </c>
      <c r="K112" s="105">
        <f t="shared" si="25"/>
        <v>81.843732229731387</v>
      </c>
      <c r="L112" s="105">
        <f t="shared" si="25"/>
        <v>0</v>
      </c>
    </row>
    <row r="113" spans="1:14" x14ac:dyDescent="0.25">
      <c r="C113" s="44"/>
      <c r="D113" s="105"/>
      <c r="E113" s="105"/>
      <c r="F113" s="105"/>
      <c r="G113" s="105"/>
      <c r="H113" s="105"/>
      <c r="I113" s="105"/>
      <c r="J113" s="105"/>
      <c r="K113" s="105"/>
      <c r="L113" s="105"/>
    </row>
    <row r="114" spans="1:14" s="60" customFormat="1" x14ac:dyDescent="0.25">
      <c r="A114" s="70" t="s">
        <v>54</v>
      </c>
      <c r="C114" s="50" t="s">
        <v>41</v>
      </c>
      <c r="D114" s="109">
        <f t="shared" ref="D114:L114" si="26">D111/$E$20*100</f>
        <v>14.326419516061211</v>
      </c>
      <c r="E114" s="109">
        <f t="shared" si="26"/>
        <v>11.19045977154332</v>
      </c>
      <c r="F114" s="109">
        <f t="shared" si="26"/>
        <v>10.600002658357141</v>
      </c>
      <c r="G114" s="109">
        <f t="shared" si="26"/>
        <v>10.635528622196835</v>
      </c>
      <c r="H114" s="109">
        <f t="shared" si="26"/>
        <v>14.082194400104212</v>
      </c>
      <c r="I114" s="109">
        <f t="shared" si="26"/>
        <v>14.50133687076684</v>
      </c>
      <c r="J114" s="109">
        <f t="shared" si="26"/>
        <v>14.751990901540605</v>
      </c>
      <c r="K114" s="109">
        <f t="shared" si="26"/>
        <v>11.725276426833119</v>
      </c>
      <c r="L114" s="110">
        <f t="shared" si="26"/>
        <v>0</v>
      </c>
      <c r="M114" s="56"/>
      <c r="N114" s="126"/>
    </row>
    <row r="115" spans="1:14" s="60" customFormat="1" x14ac:dyDescent="0.25">
      <c r="A115" s="70"/>
      <c r="D115" s="41"/>
      <c r="E115" s="41"/>
      <c r="F115" s="41"/>
      <c r="G115" s="41"/>
      <c r="H115" s="41"/>
      <c r="I115" s="41"/>
      <c r="J115" s="41"/>
      <c r="K115" s="41"/>
      <c r="L115" s="41"/>
      <c r="M115" s="56"/>
      <c r="N115" s="126"/>
    </row>
    <row r="116" spans="1:14" ht="15.6" x14ac:dyDescent="0.3">
      <c r="A116" s="61" t="s">
        <v>147</v>
      </c>
      <c r="D116" s="44"/>
      <c r="E116" s="44"/>
      <c r="F116" s="44"/>
      <c r="G116" s="44"/>
      <c r="H116" s="44"/>
      <c r="I116" s="44"/>
      <c r="J116" s="44"/>
      <c r="K116" s="44"/>
      <c r="L116" s="44"/>
    </row>
    <row r="117" spans="1:14" s="60" customFormat="1" x14ac:dyDescent="0.25">
      <c r="A117" s="78"/>
      <c r="D117" s="44" t="s">
        <v>34</v>
      </c>
      <c r="E117" s="44" t="s">
        <v>35</v>
      </c>
      <c r="F117" s="44" t="s">
        <v>6</v>
      </c>
      <c r="G117" s="44" t="s">
        <v>7</v>
      </c>
      <c r="H117" s="45" t="s">
        <v>58</v>
      </c>
      <c r="I117" s="45" t="s">
        <v>60</v>
      </c>
      <c r="J117" s="45" t="s">
        <v>59</v>
      </c>
      <c r="K117" s="44" t="s">
        <v>62</v>
      </c>
      <c r="L117" s="152" t="s">
        <v>131</v>
      </c>
      <c r="M117" s="56"/>
      <c r="N117" s="86" t="s">
        <v>169</v>
      </c>
    </row>
    <row r="118" spans="1:14" x14ac:dyDescent="0.25">
      <c r="A118" s="71" t="s">
        <v>148</v>
      </c>
      <c r="C118" s="51" t="s">
        <v>32</v>
      </c>
      <c r="D118" s="111">
        <f t="shared" ref="D118:L118" si="27">D111</f>
        <v>13137.33199700335</v>
      </c>
      <c r="E118" s="111">
        <f t="shared" si="27"/>
        <v>10261.655750975338</v>
      </c>
      <c r="F118" s="111">
        <f t="shared" si="27"/>
        <v>9720.2063597144806</v>
      </c>
      <c r="G118" s="111">
        <f t="shared" si="27"/>
        <v>9752.7836817000862</v>
      </c>
      <c r="H118" s="111">
        <f t="shared" si="27"/>
        <v>12913.377475307487</v>
      </c>
      <c r="I118" s="111">
        <f t="shared" si="27"/>
        <v>13297.731275987831</v>
      </c>
      <c r="J118" s="111">
        <f t="shared" si="27"/>
        <v>13527.581114949366</v>
      </c>
      <c r="K118" s="111">
        <f t="shared" si="27"/>
        <v>10752.082821758246</v>
      </c>
      <c r="L118" s="112">
        <f t="shared" si="27"/>
        <v>0</v>
      </c>
    </row>
    <row r="119" spans="1:14" x14ac:dyDescent="0.25">
      <c r="A119" s="71" t="s">
        <v>227</v>
      </c>
      <c r="B119" s="122">
        <v>78</v>
      </c>
      <c r="C119" s="86" t="s">
        <v>61</v>
      </c>
      <c r="D119" s="113">
        <f>$B119*D43</f>
        <v>1924.7004129599991</v>
      </c>
      <c r="E119" s="113">
        <f>$B119*E43</f>
        <v>1413.1254469812475</v>
      </c>
      <c r="F119" s="114">
        <v>0</v>
      </c>
      <c r="G119" s="114">
        <v>0</v>
      </c>
      <c r="H119" s="114">
        <v>0</v>
      </c>
      <c r="I119" s="114">
        <v>0</v>
      </c>
      <c r="J119" s="114">
        <f>$B119*J43</f>
        <v>1749.9061917830197</v>
      </c>
      <c r="K119" s="114">
        <f>$B119*K43</f>
        <v>1271.8129022831231</v>
      </c>
      <c r="L119" s="100">
        <v>0</v>
      </c>
      <c r="N119" s="151" t="s">
        <v>228</v>
      </c>
    </row>
    <row r="120" spans="1:14" x14ac:dyDescent="0.25">
      <c r="A120" s="71" t="s">
        <v>215</v>
      </c>
      <c r="C120" s="49" t="s">
        <v>41</v>
      </c>
      <c r="D120" s="115">
        <v>4.5</v>
      </c>
      <c r="E120" s="115">
        <v>3</v>
      </c>
      <c r="F120" s="115">
        <v>5</v>
      </c>
      <c r="G120" s="115">
        <v>5</v>
      </c>
      <c r="H120" s="115">
        <v>1.5</v>
      </c>
      <c r="I120" s="115">
        <v>1.5</v>
      </c>
      <c r="J120" s="115">
        <v>4.5</v>
      </c>
      <c r="K120" s="115">
        <v>3</v>
      </c>
      <c r="L120" s="116">
        <v>1.8</v>
      </c>
      <c r="N120" s="86" t="s">
        <v>168</v>
      </c>
    </row>
    <row r="121" spans="1:14" x14ac:dyDescent="0.25">
      <c r="A121" s="71" t="s">
        <v>216</v>
      </c>
      <c r="C121" s="49" t="s">
        <v>32</v>
      </c>
      <c r="D121" s="114">
        <f t="shared" ref="D121:L121" si="28">D85*D120/100</f>
        <v>4168.1834999999983</v>
      </c>
      <c r="E121" s="114">
        <f t="shared" si="28"/>
        <v>2751.0011099999992</v>
      </c>
      <c r="F121" s="114">
        <f t="shared" si="28"/>
        <v>1273.6116249999998</v>
      </c>
      <c r="G121" s="114">
        <f t="shared" si="28"/>
        <v>1637.5006607142857</v>
      </c>
      <c r="H121" s="114">
        <f t="shared" si="28"/>
        <v>1618.2359470588231</v>
      </c>
      <c r="I121" s="114">
        <f t="shared" si="28"/>
        <v>1456.4123523529406</v>
      </c>
      <c r="J121" s="114">
        <f t="shared" si="28"/>
        <v>3789.6443862244896</v>
      </c>
      <c r="K121" s="114">
        <f t="shared" si="28"/>
        <v>2475.9009989999995</v>
      </c>
      <c r="L121" s="100">
        <f t="shared" si="28"/>
        <v>1650.6006659999996</v>
      </c>
    </row>
    <row r="122" spans="1:14" x14ac:dyDescent="0.25">
      <c r="D122" s="114"/>
      <c r="E122" s="114"/>
      <c r="F122" s="114"/>
      <c r="G122" s="114"/>
      <c r="H122" s="114"/>
      <c r="I122" s="114"/>
      <c r="J122" s="114"/>
      <c r="K122" s="114"/>
      <c r="L122" s="100"/>
    </row>
    <row r="123" spans="1:14" s="57" customFormat="1" x14ac:dyDescent="0.25">
      <c r="A123" s="78" t="s">
        <v>147</v>
      </c>
      <c r="B123" s="78"/>
      <c r="C123" s="79" t="s">
        <v>32</v>
      </c>
      <c r="D123" s="117">
        <f t="shared" ref="D123:J123" si="29">SUM(D118:D119)+D121</f>
        <v>19230.215909963346</v>
      </c>
      <c r="E123" s="117">
        <f t="shared" si="29"/>
        <v>14425.782307956584</v>
      </c>
      <c r="F123" s="117">
        <f t="shared" si="29"/>
        <v>10993.81798471448</v>
      </c>
      <c r="G123" s="117">
        <f t="shared" si="29"/>
        <v>11390.284342414372</v>
      </c>
      <c r="H123" s="117">
        <f t="shared" si="29"/>
        <v>14531.61342236631</v>
      </c>
      <c r="I123" s="117">
        <f t="shared" si="29"/>
        <v>14754.143628340771</v>
      </c>
      <c r="J123" s="117">
        <f t="shared" si="29"/>
        <v>19067.131692956875</v>
      </c>
      <c r="K123" s="117">
        <f>SUM(K118:K119)+K121</f>
        <v>14499.796723041369</v>
      </c>
      <c r="L123" s="118">
        <f>SUM(L118:L119)+L121</f>
        <v>1650.6006659999996</v>
      </c>
      <c r="M123" s="56"/>
      <c r="N123" s="126"/>
    </row>
    <row r="124" spans="1:14" x14ac:dyDescent="0.25">
      <c r="B124" s="62"/>
      <c r="C124" s="80"/>
      <c r="D124" s="119"/>
      <c r="E124" s="119"/>
      <c r="F124" s="119"/>
      <c r="G124" s="119"/>
      <c r="H124" s="119"/>
      <c r="I124" s="119"/>
      <c r="J124" s="119"/>
      <c r="K124" s="119"/>
      <c r="L124" s="120"/>
    </row>
    <row r="125" spans="1:14" s="57" customFormat="1" x14ac:dyDescent="0.25">
      <c r="A125" s="78" t="s">
        <v>230</v>
      </c>
      <c r="B125" s="78"/>
      <c r="C125" s="79" t="s">
        <v>41</v>
      </c>
      <c r="D125" s="121">
        <f t="shared" ref="D125:L125" si="30">D123/$E$20*100</f>
        <v>20.970783152424847</v>
      </c>
      <c r="E125" s="121">
        <f t="shared" si="30"/>
        <v>15.731490171543319</v>
      </c>
      <c r="F125" s="121">
        <f t="shared" si="30"/>
        <v>11.98889154724603</v>
      </c>
      <c r="G125" s="121">
        <f t="shared" si="30"/>
        <v>12.421242907911122</v>
      </c>
      <c r="H125" s="121">
        <f t="shared" si="30"/>
        <v>15.846900282457153</v>
      </c>
      <c r="I125" s="121">
        <f t="shared" si="30"/>
        <v>16.089572164884487</v>
      </c>
      <c r="J125" s="121">
        <f t="shared" si="30"/>
        <v>20.792937840316114</v>
      </c>
      <c r="K125" s="121">
        <f t="shared" si="30"/>
        <v>15.81220378683312</v>
      </c>
      <c r="L125" s="118">
        <f t="shared" si="30"/>
        <v>1.7999999999999998</v>
      </c>
      <c r="M125" s="56"/>
      <c r="N125" s="126"/>
    </row>
    <row r="126" spans="1:14" s="57" customFormat="1" x14ac:dyDescent="0.25">
      <c r="A126" s="78"/>
      <c r="C126" s="51"/>
      <c r="D126" s="40"/>
      <c r="E126" s="40"/>
      <c r="F126" s="40"/>
      <c r="G126" s="40"/>
      <c r="H126" s="40"/>
      <c r="I126" s="40"/>
      <c r="J126" s="40"/>
      <c r="K126" s="40"/>
      <c r="L126" s="40"/>
      <c r="M126" s="56"/>
      <c r="N126" s="126"/>
    </row>
    <row r="127" spans="1:14" s="57" customFormat="1" x14ac:dyDescent="0.25">
      <c r="A127" s="78"/>
      <c r="C127" s="51"/>
      <c r="D127" s="40"/>
      <c r="E127" s="40"/>
      <c r="F127" s="40"/>
      <c r="G127" s="40"/>
      <c r="H127" s="40"/>
      <c r="I127" s="40"/>
      <c r="J127" s="40"/>
      <c r="K127" s="40"/>
      <c r="L127" s="40"/>
      <c r="M127" s="56"/>
      <c r="N127" s="126"/>
    </row>
    <row r="128" spans="1:14" s="57" customFormat="1" x14ac:dyDescent="0.25">
      <c r="A128" s="78"/>
      <c r="C128" s="51"/>
      <c r="D128" s="40"/>
      <c r="E128" s="40"/>
      <c r="F128" s="40"/>
      <c r="G128" s="40"/>
      <c r="H128" s="40"/>
      <c r="I128" s="40"/>
      <c r="J128" s="40"/>
      <c r="K128" s="40"/>
      <c r="L128" s="40"/>
      <c r="M128" s="56"/>
      <c r="N128" s="126"/>
    </row>
    <row r="129" spans="1:14" s="57" customFormat="1" x14ac:dyDescent="0.25">
      <c r="A129" s="155" t="s">
        <v>226</v>
      </c>
      <c r="B129" s="155"/>
      <c r="C129" s="155"/>
      <c r="D129" s="155"/>
      <c r="E129" s="155"/>
      <c r="F129" s="155"/>
      <c r="G129" s="155"/>
      <c r="H129" s="155"/>
      <c r="I129" s="155"/>
      <c r="J129" s="155"/>
      <c r="K129" s="155"/>
      <c r="L129" s="155"/>
      <c r="M129" s="155"/>
      <c r="N129" s="126"/>
    </row>
    <row r="131" spans="1:14" ht="15.6" x14ac:dyDescent="0.3">
      <c r="A131" s="61" t="s">
        <v>179</v>
      </c>
      <c r="M131" s="62"/>
    </row>
    <row r="132" spans="1:14" x14ac:dyDescent="0.25">
      <c r="A132" s="64" t="s">
        <v>194</v>
      </c>
      <c r="M132" s="62"/>
    </row>
    <row r="133" spans="1:14" x14ac:dyDescent="0.25">
      <c r="A133" s="71" t="s">
        <v>232</v>
      </c>
      <c r="B133" s="59"/>
      <c r="C133" s="59"/>
      <c r="D133" s="59"/>
      <c r="E133" s="59"/>
      <c r="F133" s="59"/>
      <c r="G133" s="59"/>
      <c r="H133" s="59"/>
      <c r="M133" s="62"/>
    </row>
    <row r="134" spans="1:14" x14ac:dyDescent="0.25">
      <c r="A134" s="71" t="s">
        <v>233</v>
      </c>
      <c r="B134" s="59"/>
      <c r="C134" s="59"/>
      <c r="D134" s="59"/>
      <c r="E134" s="59"/>
      <c r="F134" s="59"/>
      <c r="G134" s="59"/>
      <c r="H134" s="59"/>
      <c r="M134" s="62"/>
    </row>
    <row r="135" spans="1:14" x14ac:dyDescent="0.25">
      <c r="A135" s="71" t="s">
        <v>234</v>
      </c>
      <c r="M135" s="62"/>
    </row>
    <row r="136" spans="1:14" x14ac:dyDescent="0.25">
      <c r="A136" s="173" t="s">
        <v>235</v>
      </c>
      <c r="M136" s="62"/>
    </row>
    <row r="137" spans="1:14" x14ac:dyDescent="0.25">
      <c r="A137" s="71" t="s">
        <v>144</v>
      </c>
      <c r="B137" s="59"/>
      <c r="C137" s="59"/>
      <c r="D137" s="59"/>
      <c r="E137" s="59"/>
      <c r="F137" s="59"/>
      <c r="G137" s="59"/>
      <c r="H137" s="59"/>
      <c r="I137" s="59"/>
      <c r="J137" s="59"/>
      <c r="K137" s="59"/>
      <c r="L137" s="59"/>
      <c r="M137" s="71"/>
    </row>
    <row r="138" spans="1:14" x14ac:dyDescent="0.25">
      <c r="A138" s="71" t="s">
        <v>207</v>
      </c>
      <c r="B138" s="59"/>
      <c r="C138" s="59"/>
      <c r="D138" s="59"/>
      <c r="E138" s="59"/>
      <c r="F138" s="59"/>
      <c r="G138" s="59"/>
      <c r="H138" s="59"/>
      <c r="I138" s="59"/>
      <c r="J138" s="59"/>
      <c r="K138" s="59"/>
      <c r="L138" s="59"/>
      <c r="M138" s="71"/>
    </row>
    <row r="139" spans="1:14" x14ac:dyDescent="0.25">
      <c r="A139" s="71" t="s">
        <v>236</v>
      </c>
      <c r="B139" s="59"/>
      <c r="C139" s="59"/>
      <c r="D139" s="59"/>
      <c r="E139" s="59"/>
      <c r="F139" s="59"/>
      <c r="G139" s="59"/>
      <c r="H139" s="59"/>
      <c r="I139" s="59"/>
      <c r="J139" s="59"/>
      <c r="K139" s="59"/>
      <c r="L139" s="59"/>
      <c r="M139" s="71"/>
    </row>
    <row r="140" spans="1:14" x14ac:dyDescent="0.25">
      <c r="A140" s="71" t="s">
        <v>140</v>
      </c>
      <c r="B140" s="59"/>
      <c r="C140" s="59"/>
      <c r="D140" s="59"/>
      <c r="E140" s="59"/>
      <c r="F140" s="59"/>
      <c r="G140" s="59"/>
      <c r="H140" s="59"/>
      <c r="I140" s="59"/>
      <c r="J140" s="59"/>
      <c r="K140" s="59"/>
      <c r="L140" s="59"/>
      <c r="M140" s="71"/>
    </row>
    <row r="141" spans="1:14" x14ac:dyDescent="0.25">
      <c r="A141" s="71" t="s">
        <v>143</v>
      </c>
      <c r="B141" s="59"/>
      <c r="C141" s="59"/>
      <c r="D141" s="59"/>
      <c r="E141" s="59"/>
      <c r="F141" s="59"/>
      <c r="G141" s="59"/>
      <c r="H141" s="59"/>
      <c r="I141" s="59"/>
      <c r="J141" s="59"/>
      <c r="K141" s="59"/>
      <c r="L141" s="59"/>
      <c r="M141" s="71"/>
    </row>
    <row r="142" spans="1:14" x14ac:dyDescent="0.25">
      <c r="A142" s="155" t="s">
        <v>208</v>
      </c>
      <c r="B142" s="156"/>
      <c r="C142" s="156"/>
      <c r="D142" s="156"/>
      <c r="E142" s="156"/>
      <c r="F142" s="156"/>
      <c r="G142" s="156"/>
      <c r="H142" s="156"/>
      <c r="I142" s="156"/>
      <c r="J142" s="156"/>
      <c r="K142" s="156"/>
      <c r="L142" s="156"/>
      <c r="M142" s="156"/>
    </row>
    <row r="143" spans="1:14" ht="12.75" customHeight="1" x14ac:dyDescent="0.25">
      <c r="A143" s="168"/>
      <c r="B143" s="163"/>
      <c r="C143" s="163"/>
      <c r="D143" s="163"/>
      <c r="E143" s="163"/>
      <c r="F143" s="163"/>
      <c r="G143" s="163"/>
      <c r="H143" s="163"/>
      <c r="I143" s="163"/>
      <c r="J143" s="163"/>
      <c r="K143" s="163"/>
      <c r="L143" s="163"/>
      <c r="M143" s="163"/>
    </row>
    <row r="144" spans="1:14" ht="12.75" customHeight="1" x14ac:dyDescent="0.25"/>
    <row r="145" spans="1:12" ht="12.75" customHeight="1" x14ac:dyDescent="0.25"/>
    <row r="146" spans="1:12" x14ac:dyDescent="0.25">
      <c r="A146" s="78" t="s">
        <v>205</v>
      </c>
      <c r="B146" s="59"/>
      <c r="C146" s="59"/>
      <c r="D146" s="59"/>
      <c r="E146" s="59"/>
      <c r="F146" s="59"/>
      <c r="G146" s="59"/>
      <c r="H146" s="59"/>
      <c r="I146" s="59"/>
      <c r="J146" s="59"/>
      <c r="K146" s="59"/>
      <c r="L146" s="59"/>
    </row>
    <row r="147" spans="1:12" x14ac:dyDescent="0.25">
      <c r="A147" s="155" t="s">
        <v>206</v>
      </c>
      <c r="B147" s="155"/>
      <c r="C147" s="155"/>
      <c r="D147" s="155"/>
      <c r="E147" s="155"/>
      <c r="F147" s="155"/>
      <c r="G147" s="155"/>
      <c r="H147" s="155"/>
      <c r="I147" s="155"/>
      <c r="J147" s="155"/>
      <c r="K147" s="155"/>
      <c r="L147" s="155"/>
    </row>
    <row r="148" spans="1:12" x14ac:dyDescent="0.25">
      <c r="A148" s="155"/>
      <c r="B148" s="155"/>
      <c r="C148" s="155"/>
      <c r="D148" s="155"/>
      <c r="E148" s="155"/>
      <c r="F148" s="155"/>
      <c r="G148" s="155"/>
      <c r="H148" s="155"/>
      <c r="I148" s="155"/>
      <c r="J148" s="155"/>
      <c r="K148" s="155"/>
      <c r="L148" s="155"/>
    </row>
    <row r="149" spans="1:12" x14ac:dyDescent="0.25">
      <c r="A149" s="155"/>
      <c r="B149" s="155"/>
      <c r="C149" s="155"/>
      <c r="D149" s="155"/>
      <c r="E149" s="155"/>
      <c r="F149" s="155"/>
      <c r="G149" s="155"/>
      <c r="H149" s="155"/>
      <c r="I149" s="155"/>
      <c r="J149" s="155"/>
      <c r="K149" s="155"/>
      <c r="L149" s="155"/>
    </row>
    <row r="150" spans="1:12" x14ac:dyDescent="0.25">
      <c r="A150" s="155"/>
      <c r="B150" s="155"/>
      <c r="C150" s="155"/>
      <c r="D150" s="155"/>
      <c r="E150" s="155"/>
      <c r="F150" s="155"/>
      <c r="G150" s="155"/>
      <c r="H150" s="155"/>
      <c r="I150" s="155"/>
      <c r="J150" s="155"/>
      <c r="K150" s="155"/>
      <c r="L150" s="155"/>
    </row>
    <row r="151" spans="1:12" x14ac:dyDescent="0.25">
      <c r="A151" s="155"/>
      <c r="B151" s="155"/>
      <c r="C151" s="155"/>
      <c r="D151" s="155"/>
      <c r="E151" s="155"/>
      <c r="F151" s="155"/>
      <c r="G151" s="155"/>
      <c r="H151" s="155"/>
      <c r="I151" s="155"/>
      <c r="J151" s="155"/>
      <c r="K151" s="155"/>
      <c r="L151" s="155"/>
    </row>
    <row r="152" spans="1:12" x14ac:dyDescent="0.25">
      <c r="A152" s="155"/>
      <c r="B152" s="155"/>
      <c r="C152" s="155"/>
      <c r="D152" s="155"/>
      <c r="E152" s="155"/>
      <c r="F152" s="155"/>
      <c r="G152" s="155"/>
      <c r="H152" s="155"/>
      <c r="I152" s="155"/>
      <c r="J152" s="155"/>
      <c r="K152" s="155"/>
      <c r="L152" s="155"/>
    </row>
  </sheetData>
  <sheetProtection algorithmName="SHA-512" hashValue="9hMgtkupyus1UOipqIPJnIk7XzKzolodpE+98wwjZxX9u5Ov1QSlHUH1A9So9QWqyPDBFYlRDJpS0jRnhXIvJw==" saltValue="ZfsIBReWfkMGjvfDU2FcNA==" spinCount="100000" sheet="1" objects="1" scenarios="1"/>
  <mergeCells count="28">
    <mergeCell ref="A1:H1"/>
    <mergeCell ref="B2:D2"/>
    <mergeCell ref="A8:L8"/>
    <mergeCell ref="A47:M47"/>
    <mergeCell ref="F40:G40"/>
    <mergeCell ref="H40:I40"/>
    <mergeCell ref="A23:L23"/>
    <mergeCell ref="N2:N3"/>
    <mergeCell ref="A22:L22"/>
    <mergeCell ref="H13:L13"/>
    <mergeCell ref="A147:L152"/>
    <mergeCell ref="A35:M36"/>
    <mergeCell ref="A38:L38"/>
    <mergeCell ref="N25:N26"/>
    <mergeCell ref="N75:N76"/>
    <mergeCell ref="N92:N93"/>
    <mergeCell ref="N58:N59"/>
    <mergeCell ref="N54:N55"/>
    <mergeCell ref="N41:N46"/>
    <mergeCell ref="A34:M34"/>
    <mergeCell ref="A143:M143"/>
    <mergeCell ref="A129:M129"/>
    <mergeCell ref="A49:L49"/>
    <mergeCell ref="N77:N79"/>
    <mergeCell ref="A142:M142"/>
    <mergeCell ref="A37:L37"/>
    <mergeCell ref="N18:N19"/>
    <mergeCell ref="A4:K4"/>
  </mergeCells>
  <phoneticPr fontId="6" type="noConversion"/>
  <dataValidations count="3">
    <dataValidation type="list" allowBlank="1" showInputMessage="1" showErrorMessage="1" sqref="F41:G41" xr:uid="{00000000-0002-0000-0000-000000000000}">
      <formula1>Strommix</formula1>
    </dataValidation>
    <dataValidation type="list" allowBlank="1" showInputMessage="1" showErrorMessage="1" sqref="H41:I41" xr:uid="{00000000-0002-0000-0000-000001000000}">
      <formula1>Pellet</formula1>
    </dataValidation>
    <dataValidation type="list" allowBlank="1" showInputMessage="1" showErrorMessage="1" sqref="L41" xr:uid="{00000000-0002-0000-0000-000002000000}">
      <formula1>Fernwärme</formula1>
    </dataValidation>
  </dataValidations>
  <hyperlinks>
    <hyperlink ref="A9" r:id="rId1" xr:uid="{00000000-0004-0000-0000-000000000000}"/>
  </hyperlinks>
  <pageMargins left="0.39370078740157483" right="0" top="0.59055118110236227" bottom="0.31496062992125984" header="0.27559055118110237" footer="0.15748031496062992"/>
  <pageSetup paperSize="9" scale="70" fitToHeight="0" orientation="landscape" r:id="rId2"/>
  <headerFooter alignWithMargins="0"/>
  <ignoredErrors>
    <ignoredError sqref="D104:L104" unlocked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M31"/>
  <sheetViews>
    <sheetView topLeftCell="D16" workbookViewId="0">
      <selection activeCell="D26" sqref="D26"/>
    </sheetView>
  </sheetViews>
  <sheetFormatPr baseColWidth="10" defaultColWidth="9.109375" defaultRowHeight="13.2" outlineLevelCol="1" x14ac:dyDescent="0.25"/>
  <cols>
    <col min="1" max="1" width="13.88671875" hidden="1" customWidth="1" outlineLevel="1"/>
    <col min="2" max="2" width="54.88671875" hidden="1" customWidth="1" outlineLevel="1"/>
    <col min="3" max="3" width="61.5546875" hidden="1" customWidth="1" outlineLevel="1"/>
    <col min="4" max="4" width="48" bestFit="1" customWidth="1" collapsed="1"/>
    <col min="5" max="5" width="11.44140625" customWidth="1"/>
    <col min="6" max="6" width="13.33203125" bestFit="1" customWidth="1"/>
    <col min="7" max="15" width="11.44140625" customWidth="1"/>
    <col min="16" max="16" width="22.33203125" bestFit="1" customWidth="1"/>
    <col min="17" max="18" width="11.44140625" customWidth="1"/>
    <col min="19" max="19" width="27.6640625" customWidth="1"/>
    <col min="20" max="256" width="11.44140625" customWidth="1"/>
  </cols>
  <sheetData>
    <row r="4" spans="1:13" x14ac:dyDescent="0.25">
      <c r="A4" s="12"/>
      <c r="B4" s="10"/>
      <c r="C4" s="10"/>
      <c r="D4" s="10"/>
      <c r="E4" s="11"/>
      <c r="F4" s="12" t="s">
        <v>68</v>
      </c>
      <c r="G4" s="10" t="s">
        <v>69</v>
      </c>
      <c r="H4" s="11" t="s">
        <v>70</v>
      </c>
      <c r="I4" s="12" t="s">
        <v>71</v>
      </c>
      <c r="J4" s="10" t="s">
        <v>72</v>
      </c>
      <c r="K4" s="11" t="s">
        <v>73</v>
      </c>
    </row>
    <row r="5" spans="1:13" x14ac:dyDescent="0.25">
      <c r="A5" s="22" t="s">
        <v>108</v>
      </c>
      <c r="B5" s="20" t="s">
        <v>74</v>
      </c>
      <c r="C5" s="20" t="s">
        <v>75</v>
      </c>
      <c r="D5" s="20" t="s">
        <v>106</v>
      </c>
      <c r="E5" s="21" t="s">
        <v>107</v>
      </c>
      <c r="F5" s="22" t="s">
        <v>76</v>
      </c>
      <c r="G5" s="20" t="s">
        <v>76</v>
      </c>
      <c r="H5" s="21" t="s">
        <v>76</v>
      </c>
      <c r="I5" s="22" t="s">
        <v>77</v>
      </c>
      <c r="J5" s="20" t="s">
        <v>77</v>
      </c>
      <c r="K5" s="21" t="s">
        <v>77</v>
      </c>
    </row>
    <row r="6" spans="1:13" x14ac:dyDescent="0.25">
      <c r="A6" s="5"/>
      <c r="B6" s="4"/>
      <c r="C6" s="4" t="s">
        <v>126</v>
      </c>
      <c r="D6" s="4" t="s">
        <v>78</v>
      </c>
      <c r="E6" s="13" t="s">
        <v>79</v>
      </c>
      <c r="F6" s="14">
        <v>65.197338130708403</v>
      </c>
      <c r="G6" s="15">
        <v>0.79344786929160005</v>
      </c>
      <c r="H6" s="16">
        <v>65.990786</v>
      </c>
      <c r="I6" s="17">
        <v>8.8385210203577799E-2</v>
      </c>
      <c r="J6" s="18">
        <v>2.7037079642220003E-4</v>
      </c>
      <c r="K6" s="19">
        <v>8.8655580999999997E-2</v>
      </c>
      <c r="M6" s="26"/>
    </row>
    <row r="7" spans="1:13" x14ac:dyDescent="0.25">
      <c r="A7" s="5" t="s">
        <v>109</v>
      </c>
      <c r="B7" s="4" t="s">
        <v>80</v>
      </c>
      <c r="C7" s="4" t="s">
        <v>81</v>
      </c>
      <c r="D7" s="4" t="s">
        <v>82</v>
      </c>
      <c r="E7" s="13" t="s">
        <v>79</v>
      </c>
      <c r="F7" s="14">
        <v>41.309795154259994</v>
      </c>
      <c r="G7" s="15">
        <v>0.63381584574000005</v>
      </c>
      <c r="H7" s="16">
        <v>41.943610999999997</v>
      </c>
      <c r="I7" s="17">
        <v>6.8824756909064005E-2</v>
      </c>
      <c r="J7" s="18">
        <v>2.43090090936E-4</v>
      </c>
      <c r="K7" s="19">
        <v>6.9067847000000002E-2</v>
      </c>
    </row>
    <row r="8" spans="1:13" x14ac:dyDescent="0.25">
      <c r="A8" s="5" t="s">
        <v>110</v>
      </c>
      <c r="B8" s="4" t="s">
        <v>83</v>
      </c>
      <c r="C8" s="4" t="s">
        <v>127</v>
      </c>
      <c r="D8" s="4" t="s">
        <v>84</v>
      </c>
      <c r="E8" s="13" t="s">
        <v>79</v>
      </c>
      <c r="F8" s="14">
        <v>41.833071689000001</v>
      </c>
      <c r="G8" s="15">
        <v>2.8427323109999998</v>
      </c>
      <c r="H8" s="31">
        <v>44.675803999999999</v>
      </c>
      <c r="I8" s="17">
        <v>1.9334721442000002E-2</v>
      </c>
      <c r="J8" s="18">
        <v>1.7491355579999999E-3</v>
      </c>
      <c r="K8" s="29">
        <v>2.1083857000000001E-2</v>
      </c>
    </row>
    <row r="9" spans="1:13" x14ac:dyDescent="0.25">
      <c r="A9" s="5" t="s">
        <v>111</v>
      </c>
      <c r="B9" s="4" t="s">
        <v>85</v>
      </c>
      <c r="C9" s="4" t="s">
        <v>128</v>
      </c>
      <c r="D9" s="4" t="s">
        <v>86</v>
      </c>
      <c r="E9" s="13" t="s">
        <v>79</v>
      </c>
      <c r="F9" s="14">
        <v>30.027383818999997</v>
      </c>
      <c r="G9" s="15">
        <v>2.8203461810000001</v>
      </c>
      <c r="H9" s="31">
        <v>32.847729999999999</v>
      </c>
      <c r="I9" s="17">
        <v>1.33588220432E-2</v>
      </c>
      <c r="J9" s="18">
        <v>1.8982819568000001E-3</v>
      </c>
      <c r="K9" s="29">
        <v>1.5257104E-2</v>
      </c>
    </row>
    <row r="10" spans="1:13" x14ac:dyDescent="0.25">
      <c r="A10" s="5" t="s">
        <v>112</v>
      </c>
      <c r="B10" s="4" t="s">
        <v>87</v>
      </c>
      <c r="C10" s="4" t="s">
        <v>88</v>
      </c>
      <c r="D10" s="4" t="s">
        <v>89</v>
      </c>
      <c r="E10" s="13" t="s">
        <v>79</v>
      </c>
      <c r="F10" s="14">
        <v>27.432979353099999</v>
      </c>
      <c r="G10" s="15">
        <v>1.3825646468999999</v>
      </c>
      <c r="H10" s="16">
        <v>28.815543999999999</v>
      </c>
      <c r="I10" s="17">
        <v>1.2219239738500001E-2</v>
      </c>
      <c r="J10" s="18">
        <v>9.8775726149999995E-4</v>
      </c>
      <c r="K10" s="29">
        <v>1.3206997E-2</v>
      </c>
      <c r="M10" s="26"/>
    </row>
    <row r="11" spans="1:13" x14ac:dyDescent="0.25">
      <c r="A11" s="5" t="s">
        <v>113</v>
      </c>
      <c r="B11" s="4" t="s">
        <v>90</v>
      </c>
      <c r="C11" s="4" t="s">
        <v>91</v>
      </c>
      <c r="D11" s="4" t="s">
        <v>92</v>
      </c>
      <c r="E11" s="13" t="s">
        <v>79</v>
      </c>
      <c r="F11" s="14">
        <v>28.937908353099999</v>
      </c>
      <c r="G11" s="15">
        <v>1.3825646468999999</v>
      </c>
      <c r="H11" s="16">
        <v>30.320473</v>
      </c>
      <c r="I11" s="17">
        <v>1.2173840738500001E-2</v>
      </c>
      <c r="J11" s="18">
        <v>9.8775726149999995E-4</v>
      </c>
      <c r="K11" s="19">
        <v>1.3161598E-2</v>
      </c>
      <c r="M11" s="26"/>
    </row>
    <row r="12" spans="1:13" x14ac:dyDescent="0.25">
      <c r="A12" s="5"/>
      <c r="B12" s="4"/>
      <c r="C12" s="4" t="s">
        <v>129</v>
      </c>
      <c r="D12" s="4" t="s">
        <v>93</v>
      </c>
      <c r="E12" s="13" t="s">
        <v>79</v>
      </c>
      <c r="F12" s="14">
        <v>1.8349688293500002</v>
      </c>
      <c r="G12" s="15">
        <v>10.08744717065</v>
      </c>
      <c r="H12" s="16">
        <v>11.922416</v>
      </c>
      <c r="I12" s="17">
        <v>3.267780751300001E-4</v>
      </c>
      <c r="J12" s="18">
        <v>4.1879893248700003E-3</v>
      </c>
      <c r="K12" s="19">
        <v>4.5147674000000004E-3</v>
      </c>
    </row>
    <row r="13" spans="1:13" x14ac:dyDescent="0.25">
      <c r="A13" s="5" t="s">
        <v>114</v>
      </c>
      <c r="B13" s="4" t="s">
        <v>94</v>
      </c>
      <c r="C13" s="4" t="s">
        <v>95</v>
      </c>
      <c r="D13" s="4" t="s">
        <v>96</v>
      </c>
      <c r="E13" s="13" t="s">
        <v>79</v>
      </c>
      <c r="F13" s="14"/>
      <c r="G13" s="15"/>
      <c r="H13" s="16">
        <v>25.258025</v>
      </c>
      <c r="I13" s="17"/>
      <c r="J13" s="18"/>
      <c r="K13" s="19">
        <v>3.0063146999999998E-2</v>
      </c>
    </row>
    <row r="14" spans="1:13" x14ac:dyDescent="0.25">
      <c r="A14" s="5" t="s">
        <v>115</v>
      </c>
      <c r="B14" s="4" t="s">
        <v>97</v>
      </c>
      <c r="C14" s="4" t="s">
        <v>98</v>
      </c>
      <c r="D14" s="4" t="s">
        <v>99</v>
      </c>
      <c r="E14" s="13" t="s">
        <v>79</v>
      </c>
      <c r="F14" s="14"/>
      <c r="G14" s="15"/>
      <c r="H14" s="16">
        <v>2.2070409</v>
      </c>
      <c r="I14" s="17"/>
      <c r="J14" s="18"/>
      <c r="K14" s="19">
        <v>9.4142797000000002E-4</v>
      </c>
    </row>
    <row r="15" spans="1:13" x14ac:dyDescent="0.25">
      <c r="A15" s="5" t="s">
        <v>116</v>
      </c>
      <c r="B15" s="4" t="s">
        <v>100</v>
      </c>
      <c r="C15" s="4" t="s">
        <v>101</v>
      </c>
      <c r="D15" s="4" t="s">
        <v>102</v>
      </c>
      <c r="E15" s="13" t="s">
        <v>79</v>
      </c>
      <c r="F15" s="14"/>
      <c r="G15" s="15"/>
      <c r="H15" s="16">
        <v>28.686575999999999</v>
      </c>
      <c r="I15" s="17"/>
      <c r="J15" s="18"/>
      <c r="K15" s="19">
        <v>1.2097092E-2</v>
      </c>
    </row>
    <row r="16" spans="1:13" x14ac:dyDescent="0.25">
      <c r="A16" s="5" t="s">
        <v>117</v>
      </c>
      <c r="B16" s="4" t="s">
        <v>103</v>
      </c>
      <c r="C16" s="23" t="s">
        <v>120</v>
      </c>
      <c r="D16" s="4" t="s">
        <v>104</v>
      </c>
      <c r="E16" s="24" t="s">
        <v>79</v>
      </c>
      <c r="F16" s="5"/>
      <c r="G16" s="4"/>
      <c r="H16" s="16">
        <v>13.024449000000001</v>
      </c>
      <c r="I16" s="5"/>
      <c r="J16" s="4"/>
      <c r="K16" s="19">
        <v>3.9850896999999996E-3</v>
      </c>
    </row>
    <row r="17" spans="1:11" x14ac:dyDescent="0.25">
      <c r="A17" s="5" t="s">
        <v>121</v>
      </c>
      <c r="B17" s="4" t="s">
        <v>122</v>
      </c>
      <c r="C17" s="32" t="s">
        <v>125</v>
      </c>
      <c r="D17" s="4" t="s">
        <v>105</v>
      </c>
      <c r="E17" s="24" t="s">
        <v>79</v>
      </c>
      <c r="F17" s="5"/>
      <c r="G17" s="4"/>
      <c r="H17" s="16">
        <v>105.83618</v>
      </c>
      <c r="I17" s="5"/>
      <c r="J17" s="4"/>
      <c r="K17" s="19">
        <v>3.8484933999999998E-2</v>
      </c>
    </row>
    <row r="18" spans="1:11" x14ac:dyDescent="0.25">
      <c r="A18" s="22"/>
      <c r="B18" s="20" t="s">
        <v>119</v>
      </c>
      <c r="C18" s="20" t="s">
        <v>130</v>
      </c>
      <c r="D18" s="33" t="s">
        <v>118</v>
      </c>
      <c r="E18" s="25" t="s">
        <v>79</v>
      </c>
      <c r="F18" s="22"/>
      <c r="G18" s="20"/>
      <c r="H18" s="34">
        <v>122.43467</v>
      </c>
      <c r="I18" s="35"/>
      <c r="J18" s="36"/>
      <c r="K18" s="37">
        <v>4.0579196999999997E-2</v>
      </c>
    </row>
    <row r="19" spans="1:11" x14ac:dyDescent="0.25">
      <c r="A19" s="4"/>
      <c r="B19" s="4"/>
      <c r="C19" s="4"/>
      <c r="D19" s="4"/>
      <c r="E19" s="4"/>
      <c r="F19" s="4"/>
      <c r="G19" s="4"/>
      <c r="H19" s="23"/>
      <c r="I19" s="23"/>
      <c r="J19" s="23"/>
      <c r="K19" s="23"/>
    </row>
    <row r="20" spans="1:11" x14ac:dyDescent="0.25">
      <c r="A20" s="4"/>
      <c r="B20" s="4"/>
      <c r="C20" s="4"/>
      <c r="D20" s="4"/>
      <c r="E20" s="4"/>
      <c r="F20" s="4"/>
      <c r="G20" s="4"/>
      <c r="H20" s="4"/>
      <c r="I20" s="4"/>
      <c r="J20" s="4"/>
      <c r="K20" s="4"/>
    </row>
    <row r="22" spans="1:11" x14ac:dyDescent="0.25">
      <c r="D22" s="2" t="s">
        <v>123</v>
      </c>
    </row>
    <row r="23" spans="1:11" x14ac:dyDescent="0.25">
      <c r="D23" s="26" t="s">
        <v>104</v>
      </c>
      <c r="H23" s="30">
        <f>H$8-H$17*0.35712+H16*0.35712</f>
        <v>11.530878625279998</v>
      </c>
      <c r="K23" s="30">
        <f>K$8-K$17*0.35712+K16*0.35712</f>
        <v>8.7632726035840013E-3</v>
      </c>
    </row>
    <row r="24" spans="1:11" x14ac:dyDescent="0.25">
      <c r="D24" t="s">
        <v>105</v>
      </c>
      <c r="H24" s="28">
        <f>H$8-H$17*0.35712+H17*0.35712</f>
        <v>44.675803999999999</v>
      </c>
      <c r="K24" s="28">
        <f>K$8-K$17*0.35712+K17*0.35712</f>
        <v>2.1083857000000001E-2</v>
      </c>
    </row>
    <row r="25" spans="1:11" x14ac:dyDescent="0.25">
      <c r="D25" t="s">
        <v>118</v>
      </c>
      <c r="H25" s="28">
        <f>H$8-H$17*0.35712+H18*0.35712</f>
        <v>50.603456748799999</v>
      </c>
      <c r="K25" s="28">
        <f>K$8-K$17*0.35712+K18*0.35712</f>
        <v>2.1831760202560002E-2</v>
      </c>
    </row>
    <row r="26" spans="1:11" x14ac:dyDescent="0.25">
      <c r="H26" s="28"/>
      <c r="K26" s="28"/>
    </row>
    <row r="27" spans="1:11" x14ac:dyDescent="0.25">
      <c r="H27" s="28"/>
      <c r="K27" s="28"/>
    </row>
    <row r="28" spans="1:11" x14ac:dyDescent="0.25">
      <c r="D28" s="2" t="s">
        <v>124</v>
      </c>
    </row>
    <row r="29" spans="1:11" x14ac:dyDescent="0.25">
      <c r="D29" s="26" t="s">
        <v>104</v>
      </c>
      <c r="H29" s="30">
        <f>H$9-H$17*0.0712*3.6+H16*0.0712*3.6</f>
        <v>9.0582271100799989</v>
      </c>
      <c r="K29" s="30">
        <f>K$9-K$17*0.0712*3.6+K16*0.0712*3.6</f>
        <v>6.4141039090240019E-3</v>
      </c>
    </row>
    <row r="30" spans="1:11" x14ac:dyDescent="0.25">
      <c r="D30" t="s">
        <v>105</v>
      </c>
      <c r="H30" s="30">
        <f>H$9-H$17*0.0712*3.6+H17*0.0712*3.6</f>
        <v>32.847729999999999</v>
      </c>
      <c r="K30" s="30">
        <f>K$9-K$17*0.0712*3.6+K17*0.0712*3.6</f>
        <v>1.5257104E-2</v>
      </c>
    </row>
    <row r="31" spans="1:11" x14ac:dyDescent="0.25">
      <c r="D31" t="s">
        <v>118</v>
      </c>
      <c r="H31" s="30">
        <f>H$9-H$17*0.0712*3.6+H18*0.0712*3.6</f>
        <v>37.102254956799996</v>
      </c>
      <c r="K31" s="30">
        <f>K$9-K$17*0.0712*3.6+K18*0.0712*3.6</f>
        <v>1.5793905492160001E-2</v>
      </c>
    </row>
  </sheetData>
  <sheetProtection password="DCC1" sheet="1" objects="1" scenarios="1"/>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20"/>
  <sheetViews>
    <sheetView workbookViewId="0">
      <selection activeCell="A33" sqref="A33"/>
    </sheetView>
  </sheetViews>
  <sheetFormatPr baseColWidth="10" defaultColWidth="9.109375" defaultRowHeight="13.2" x14ac:dyDescent="0.25"/>
  <cols>
    <col min="1" max="1" width="19.88671875" customWidth="1"/>
    <col min="2" max="6" width="9.6640625" customWidth="1"/>
    <col min="7" max="7" width="11.5546875" bestFit="1" customWidth="1"/>
    <col min="8" max="10" width="9.6640625" customWidth="1"/>
    <col min="11" max="256" width="11.44140625" customWidth="1"/>
  </cols>
  <sheetData>
    <row r="2" spans="1:10" x14ac:dyDescent="0.25">
      <c r="A2" s="6"/>
      <c r="B2" s="6" t="s">
        <v>34</v>
      </c>
      <c r="C2" s="6" t="s">
        <v>35</v>
      </c>
      <c r="D2" s="6" t="s">
        <v>6</v>
      </c>
      <c r="E2" s="6" t="s">
        <v>7</v>
      </c>
      <c r="F2" s="7" t="s">
        <v>58</v>
      </c>
      <c r="G2" s="7" t="s">
        <v>60</v>
      </c>
      <c r="H2" s="7" t="s">
        <v>59</v>
      </c>
      <c r="I2" s="8" t="s">
        <v>62</v>
      </c>
      <c r="J2" s="38" t="s">
        <v>131</v>
      </c>
    </row>
    <row r="3" spans="1:10" x14ac:dyDescent="0.25">
      <c r="A3" s="6" t="s">
        <v>52</v>
      </c>
      <c r="B3" s="9">
        <f>'Kosten- &amp; Umweltbilanz'!D81</f>
        <v>3472.5376906397155</v>
      </c>
      <c r="C3" s="9">
        <f>'Kosten- &amp; Umweltbilanz'!E81</f>
        <v>2829.359526222865</v>
      </c>
      <c r="D3" s="9">
        <f>'Kosten- &amp; Umweltbilanz'!F81</f>
        <v>5779.94099596448</v>
      </c>
      <c r="E3" s="9">
        <f>'Kosten- &amp; Umweltbilanz'!G81</f>
        <v>4568.1567854500854</v>
      </c>
      <c r="F3" s="9">
        <f>'Kosten- &amp; Umweltbilanz'!H81</f>
        <v>3870.5381479545495</v>
      </c>
      <c r="G3" s="9">
        <f>'Kosten- &amp; Umweltbilanz'!I81</f>
        <v>5022.1758813701863</v>
      </c>
      <c r="H3" s="9">
        <f>'Kosten- &amp; Umweltbilanz'!J81</f>
        <v>4622.334454775897</v>
      </c>
      <c r="I3" s="9">
        <f>'Kosten- &amp; Umweltbilanz'!K81</f>
        <v>3958.8162194810179</v>
      </c>
      <c r="J3" s="9">
        <f>'Kosten- &amp; Umweltbilanz'!L81</f>
        <v>0</v>
      </c>
    </row>
    <row r="4" spans="1:10" x14ac:dyDescent="0.25">
      <c r="A4" s="6" t="s">
        <v>33</v>
      </c>
      <c r="B4" s="9">
        <f>'Kosten- &amp; Umweltbilanz'!D109</f>
        <v>8511.4306363636333</v>
      </c>
      <c r="C4" s="9">
        <f>'Kosten- &amp; Umweltbilanz'!E109</f>
        <v>6900.2962247524738</v>
      </c>
      <c r="D4" s="9">
        <f>'Kosten- &amp; Umweltbilanz'!F109</f>
        <v>3790.2653637499998</v>
      </c>
      <c r="E4" s="9">
        <f>'Kosten- &amp; Umweltbilanz'!G109</f>
        <v>4834.6268962499998</v>
      </c>
      <c r="F4" s="9">
        <f>'Kosten- &amp; Umweltbilanz'!H109</f>
        <v>8016.0768529411744</v>
      </c>
      <c r="G4" s="9">
        <f>'Kosten- &amp; Umweltbilanz'!I109</f>
        <v>7256.4691676470566</v>
      </c>
      <c r="H4" s="9">
        <f>'Kosten- &amp; Umweltbilanz'!J109</f>
        <v>7759.4537724489774</v>
      </c>
      <c r="I4" s="9">
        <f>'Kosten- &amp; Umweltbilanz'!K109</f>
        <v>6261.2666022772273</v>
      </c>
      <c r="J4" s="9">
        <f>'Kosten- &amp; Umweltbilanz'!L109</f>
        <v>0</v>
      </c>
    </row>
    <row r="5" spans="1:10" x14ac:dyDescent="0.25">
      <c r="A5" s="6" t="s">
        <v>44</v>
      </c>
      <c r="B5" s="9">
        <f>'Kosten- &amp; Umweltbilanz'!D110</f>
        <v>1153.36367</v>
      </c>
      <c r="C5" s="9">
        <f>'Kosten- &amp; Umweltbilanz'!E110</f>
        <v>532</v>
      </c>
      <c r="D5" s="9">
        <f>'Kosten- &amp; Umweltbilanz'!F110</f>
        <v>150</v>
      </c>
      <c r="E5" s="9">
        <f>'Kosten- &amp; Umweltbilanz'!G110</f>
        <v>350</v>
      </c>
      <c r="F5" s="9">
        <f>'Kosten- &amp; Umweltbilanz'!H110</f>
        <v>1026.7624744117647</v>
      </c>
      <c r="G5" s="9">
        <f>'Kosten- &amp; Umweltbilanz'!I110</f>
        <v>1019.0862269705882</v>
      </c>
      <c r="H5" s="9">
        <f>'Kosten- &amp; Umweltbilanz'!J110</f>
        <v>1145.7928877244897</v>
      </c>
      <c r="I5" s="9">
        <f>'Kosten- &amp; Umweltbilanz'!K110</f>
        <v>532</v>
      </c>
      <c r="J5" s="9">
        <f>'Kosten- &amp; Umweltbilanz'!L110</f>
        <v>0</v>
      </c>
    </row>
    <row r="6" spans="1:10" x14ac:dyDescent="0.25">
      <c r="A6" s="6" t="s">
        <v>146</v>
      </c>
      <c r="B6" s="9">
        <f>'Kosten- &amp; Umweltbilanz'!D119</f>
        <v>1924.7004129599991</v>
      </c>
      <c r="C6" s="9">
        <f>'Kosten- &amp; Umweltbilanz'!E119</f>
        <v>1413.1254469812475</v>
      </c>
      <c r="D6" s="9">
        <f>'Kosten- &amp; Umweltbilanz'!F119</f>
        <v>0</v>
      </c>
      <c r="E6" s="9">
        <f>'Kosten- &amp; Umweltbilanz'!G119</f>
        <v>0</v>
      </c>
      <c r="F6" s="9">
        <f>'Kosten- &amp; Umweltbilanz'!H119</f>
        <v>0</v>
      </c>
      <c r="G6" s="9">
        <f>'Kosten- &amp; Umweltbilanz'!I119</f>
        <v>0</v>
      </c>
      <c r="H6" s="9">
        <f>'Kosten- &amp; Umweltbilanz'!J119</f>
        <v>1749.9061917830197</v>
      </c>
      <c r="I6" s="9">
        <f>'Kosten- &amp; Umweltbilanz'!K119</f>
        <v>1271.8129022831231</v>
      </c>
      <c r="J6" s="9">
        <f>'Kosten- &amp; Umweltbilanz'!L119</f>
        <v>0</v>
      </c>
    </row>
    <row r="7" spans="1:10" x14ac:dyDescent="0.25">
      <c r="A7" s="27" t="s">
        <v>171</v>
      </c>
      <c r="B7" s="9">
        <f>'Kosten- &amp; Umweltbilanz'!D121</f>
        <v>4168.1834999999983</v>
      </c>
      <c r="C7" s="9">
        <f>'Kosten- &amp; Umweltbilanz'!E121</f>
        <v>2751.0011099999992</v>
      </c>
      <c r="D7" s="9">
        <f>'Kosten- &amp; Umweltbilanz'!F121</f>
        <v>1273.6116249999998</v>
      </c>
      <c r="E7" s="9">
        <f>'Kosten- &amp; Umweltbilanz'!G121</f>
        <v>1637.5006607142857</v>
      </c>
      <c r="F7" s="9">
        <f>'Kosten- &amp; Umweltbilanz'!H121</f>
        <v>1618.2359470588231</v>
      </c>
      <c r="G7" s="9">
        <f>'Kosten- &amp; Umweltbilanz'!I121</f>
        <v>1456.4123523529406</v>
      </c>
      <c r="H7" s="9">
        <f>'Kosten- &amp; Umweltbilanz'!J121</f>
        <v>3789.6443862244896</v>
      </c>
      <c r="I7" s="9">
        <f>'Kosten- &amp; Umweltbilanz'!K121</f>
        <v>2475.9009989999995</v>
      </c>
      <c r="J7" s="9">
        <f>'Kosten- &amp; Umweltbilanz'!L121</f>
        <v>1650.6006659999996</v>
      </c>
    </row>
    <row r="8" spans="1:10" x14ac:dyDescent="0.25">
      <c r="J8" s="3"/>
    </row>
    <row r="9" spans="1:10" x14ac:dyDescent="0.25">
      <c r="J9" s="1"/>
    </row>
    <row r="10" spans="1:10" x14ac:dyDescent="0.25">
      <c r="J10" s="3"/>
    </row>
    <row r="14" spans="1:10" x14ac:dyDescent="0.25">
      <c r="I14" s="141" t="s">
        <v>222</v>
      </c>
    </row>
    <row r="15" spans="1:10" x14ac:dyDescent="0.25">
      <c r="I15" s="141" t="s">
        <v>223</v>
      </c>
    </row>
    <row r="16" spans="1:10" x14ac:dyDescent="0.25">
      <c r="I16" s="141" t="s">
        <v>224</v>
      </c>
    </row>
    <row r="17" spans="2:6" x14ac:dyDescent="0.25">
      <c r="B17" s="26" t="s">
        <v>132</v>
      </c>
      <c r="C17" s="26" t="s">
        <v>58</v>
      </c>
      <c r="D17" s="26" t="s">
        <v>131</v>
      </c>
      <c r="F17" s="26" t="s">
        <v>225</v>
      </c>
    </row>
    <row r="18" spans="2:6" x14ac:dyDescent="0.25">
      <c r="B18" s="26" t="s">
        <v>145</v>
      </c>
      <c r="C18" s="26" t="s">
        <v>134</v>
      </c>
      <c r="D18" s="26" t="s">
        <v>137</v>
      </c>
    </row>
    <row r="19" spans="2:6" x14ac:dyDescent="0.25">
      <c r="B19" s="26" t="s">
        <v>133</v>
      </c>
      <c r="C19" s="26" t="s">
        <v>135</v>
      </c>
      <c r="D19" s="26" t="s">
        <v>138</v>
      </c>
    </row>
    <row r="20" spans="2:6" x14ac:dyDescent="0.25">
      <c r="B20" s="26"/>
      <c r="D20" s="26" t="s">
        <v>139</v>
      </c>
    </row>
  </sheetData>
  <sheetProtection algorithmName="SHA-512" hashValue="z3WvBp2+ADkAbVFB/yrUXkJgVdHbHGZ7+joRHM0R7ZzEl6ga7Vr4wOwr8hOOrr9WZk8a6yVPHyyAzAqrWISD8w==" saltValue="5wEPUBuRrAzdsrUw3+LcCA==" spinCount="100000" sheet="1" objects="1" scenarios="1"/>
  <phoneticPr fontId="6" type="noConversion"/>
  <printOptions gridLines="1" gridLinesSet="0"/>
  <pageMargins left="0.75" right="0.75" top="1" bottom="1" header="0.51181102300000003" footer="0.51181102300000003"/>
  <pageSetup paperSize="9" orientation="portrait"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536683806C9242AFB1372EB461774B" ma:contentTypeVersion="10" ma:contentTypeDescription="Create a new document." ma:contentTypeScope="" ma:versionID="929bf727e4851821d6a727112e31f311">
  <xsd:schema xmlns:xsd="http://www.w3.org/2001/XMLSchema" xmlns:xs="http://www.w3.org/2001/XMLSchema" xmlns:p="http://schemas.microsoft.com/office/2006/metadata/properties" xmlns:ns2="ecfef537-1e15-4e45-bf31-20fa3a1af5a8" xmlns:ns3="cb81115e-e38c-467c-b2e3-c6b8d2e96873" targetNamespace="http://schemas.microsoft.com/office/2006/metadata/properties" ma:root="true" ma:fieldsID="bd6aa1f9dd4dcaa4cca342fd03aef337" ns2:_="" ns3:_="">
    <xsd:import namespace="ecfef537-1e15-4e45-bf31-20fa3a1af5a8"/>
    <xsd:import namespace="cb81115e-e38c-467c-b2e3-c6b8d2e9687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fef537-1e15-4e45-bf31-20fa3a1af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81115e-e38c-467c-b2e3-c6b8d2e96873"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b81115e-e38c-467c-b2e3-c6b8d2e96873">
      <UserInfo>
        <DisplayName>Meili Christoph</DisplayName>
        <AccountId>35</AccountId>
        <AccountType/>
      </UserInfo>
    </SharedWithUsers>
  </documentManagement>
</p:properties>
</file>

<file path=customXml/itemProps1.xml><?xml version="1.0" encoding="utf-8"?>
<ds:datastoreItem xmlns:ds="http://schemas.openxmlformats.org/officeDocument/2006/customXml" ds:itemID="{DF82EC1C-E389-4B7B-AD6E-958303F61E03}"/>
</file>

<file path=customXml/itemProps2.xml><?xml version="1.0" encoding="utf-8"?>
<ds:datastoreItem xmlns:ds="http://schemas.openxmlformats.org/officeDocument/2006/customXml" ds:itemID="{66EC38A3-143B-485F-A9DA-2B5A256D9DCC}">
  <ds:schemaRefs>
    <ds:schemaRef ds:uri="http://schemas.microsoft.com/sharepoint/v3/contenttype/forms"/>
  </ds:schemaRefs>
</ds:datastoreItem>
</file>

<file path=customXml/itemProps3.xml><?xml version="1.0" encoding="utf-8"?>
<ds:datastoreItem xmlns:ds="http://schemas.openxmlformats.org/officeDocument/2006/customXml" ds:itemID="{C9F98111-C715-4BC6-8497-46F26EBCD925}">
  <ds:schemaRef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cb81115e-e38c-467c-b2e3-c6b8d2e96873"/>
    <ds:schemaRef ds:uri="http://purl.org/dc/elements/1.1/"/>
    <ds:schemaRef ds:uri="http://schemas.microsoft.com/office/2006/metadata/properties"/>
    <ds:schemaRef ds:uri="ecfef537-1e15-4e45-bf31-20fa3a1af5a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Kosten- &amp; Umweltbilanz</vt:lpstr>
      <vt:lpstr>Umweltkennwerte</vt:lpstr>
      <vt:lpstr>Grafik</vt:lpstr>
      <vt:lpstr>'Kosten- &amp; Umweltbilanz'!Druckbereich</vt:lpstr>
      <vt:lpstr>Fernwärme</vt:lpstr>
      <vt:lpstr>Pellet</vt:lpstr>
      <vt:lpstr>Strommix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2015-06-05T11:21:51Z</dcterms:created>
  <dcterms:modified xsi:type="dcterms:W3CDTF">2019-05-20T13:25:29Z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0x01010062536683806C9242AFB1372EB461774B</vt:lpwstr>
  </property>
  <property fmtid="{D5CDD505-2E9C-101B-9397-08002B2CF9AE}" pid="3" name="Order">
    <vt:r8>1068200</vt:r8>
  </property>
</Properties>
</file>